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/>
</workbook>
</file>

<file path=xl/sharedStrings.xml><?xml version="1.0" encoding="utf-8"?>
<sst xmlns="http://schemas.openxmlformats.org/spreadsheetml/2006/main" count="182" uniqueCount="160">
  <si>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</si>
  <si>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</si>
  <si>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</si>
  <si>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</si>
  <si>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</si>
  <si>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</si>
  <si>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</si>
  <si>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</si>
  <si>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</si>
  <si>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</si>
  <si>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</si>
  <si>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</si>
  <si>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</si>
  <si>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</si>
  <si>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</si>
  <si>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</si>
  <si>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</si>
  <si>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</si>
  <si>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</si>
  <si>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</si>
  <si>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</si>
  <si>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</si>
  <si>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</si>
  <si>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</si>
  <si>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</si>
  <si>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</si>
  <si>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</si>
  <si>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</si>
  <si>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</si>
  <si>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</si>
  <si>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</si>
  <si>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</si>
  <si>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</si>
  <si>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</si>
  <si>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</si>
  <si>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</si>
  <si>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</si>
  <si>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</si>
  <si>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</si>
  <si>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</si>
  <si>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</si>
  <si>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</si>
  <si>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</si>
  <si>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</si>
  <si>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</si>
  <si>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</si>
  <si>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</si>
  <si>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</si>
  <si>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</si>
  <si>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</si>
  <si>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</si>
  <si>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</si>
  <si>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</si>
  <si>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</si>
  <si>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</si>
  <si>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</si>
  <si>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</si>
  <si>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</si>
  <si>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</si>
  <si>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</si>
  <si>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</si>
  <si>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</si>
  <si>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</si>
  <si>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</si>
  <si>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</si>
  <si>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</si>
  <si>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</si>
  <si>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</si>
  <si>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</si>
  <si>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</si>
  <si>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</si>
  <si>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</si>
  <si>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</si>
  <si>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</si>
  <si>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</si>
  <si>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</si>
  <si>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</si>
  <si>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</si>
  <si>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</si>
  <si>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</si>
  <si>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</si>
  <si>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</si>
  <si>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</si>
  <si>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</si>
  <si>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</si>
  <si>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</si>
  <si>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</si>
  <si>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</si>
  <si>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</si>
  <si>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</si>
  <si>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</si>
  <si>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</si>
  <si>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</si>
  <si>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</si>
  <si>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</si>
  <si>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</si>
  <si>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</si>
  <si>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</si>
  <si>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</si>
  <si>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</si>
  <si>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</si>
  <si>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</si>
  <si>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</si>
  <si>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</si>
  <si>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Feb</t>
  </si>
  <si>
    <t>S3</t>
  </si>
  <si>
    <t>S2</t>
  </si>
  <si>
    <t>Cloudy and damp start with rain clearing. Turning brighter with some sunshine later.</t>
  </si>
  <si>
    <t>Mostly cloudy and windy with little if any brightness. Feeling mild again.</t>
  </si>
  <si>
    <t>SSW2</t>
  </si>
  <si>
    <t>Cloudyand windy with little or no brightness. Very mild, in spite of the wind.</t>
  </si>
  <si>
    <t>Cloudy and chilly at first, but turning mild later. Getting very windy by evening.</t>
  </si>
  <si>
    <t>SW6</t>
  </si>
  <si>
    <t>SW5</t>
  </si>
  <si>
    <t>tr</t>
  </si>
  <si>
    <t>Another windy day, especially in the morning. Some light rain also for a time.</t>
  </si>
  <si>
    <t>SSW7</t>
  </si>
  <si>
    <t>Cloudy and windy with little if any bright intervals. Staying very mild, in spite of the wind.</t>
  </si>
  <si>
    <t>Very gusty winds, and gradually cooling down too. Calmer and clearer by the evening.</t>
  </si>
  <si>
    <t>SW2</t>
  </si>
  <si>
    <t xml:space="preserve">Frosty start, then generally sunny. Cooler than recently, but still relatively mild. </t>
  </si>
  <si>
    <t>SSW4</t>
  </si>
  <si>
    <t>Cloudy and damp at first, clearing as the day wore on with some brighter or sunny ints.</t>
  </si>
  <si>
    <t>Cloudy and damp with fairly light winds thoughout. Temperatures a little lower.</t>
  </si>
  <si>
    <t>W3</t>
  </si>
  <si>
    <t>Some bright or sunny spells after a misty start. Cloudier later with a wet evening.</t>
  </si>
  <si>
    <t>S6</t>
  </si>
  <si>
    <t>S1</t>
  </si>
  <si>
    <t xml:space="preserve">A mostly bright day, once early rain cleared. Feeling mild in the sunshine. </t>
  </si>
  <si>
    <t>Dull and cloudy with outbreaks of rain on and off, especially later on. A little cooler.</t>
  </si>
  <si>
    <t>Brighter but colder, with some sunny intervals. Winds generally lighter than recently.</t>
  </si>
  <si>
    <t>ESE4</t>
  </si>
  <si>
    <t xml:space="preserve">Rather cold and damp, with spells of light rain. Heavier bursts for a time by evening. </t>
  </si>
  <si>
    <t>S</t>
  </si>
  <si>
    <t xml:space="preserve">Bright with a touch of frost first thing. Turning cloudier, with average temperatures. </t>
  </si>
  <si>
    <t>ENE2</t>
  </si>
  <si>
    <t>Cloudy and cold with only a few brrighter interludes. Winds generally light throughout.</t>
  </si>
  <si>
    <t>E2</t>
  </si>
  <si>
    <t>Again rather cloudy and cold, with some mistines by the evening.</t>
  </si>
  <si>
    <t>E4</t>
  </si>
  <si>
    <t>E3</t>
  </si>
  <si>
    <t xml:space="preserve">Cloudy and cold with outbreaks of rain from time to time, mostly light. </t>
  </si>
  <si>
    <t>Further cloud and staying on the cold side. Winds light and generally dry, if damp.</t>
  </si>
  <si>
    <t>SSE2</t>
  </si>
  <si>
    <t>Rather cloudy with outbreaks of rain on and off, most of it light and patchy. Feeling mild.</t>
  </si>
  <si>
    <t>SE4</t>
  </si>
  <si>
    <t>Cloudy and drizzly with some rain at times. Feeling a little milder than recently.</t>
  </si>
  <si>
    <t>Cold and cloudy with outbreaks of mostly light rain from time to time. Light winds.</t>
  </si>
  <si>
    <t>S4</t>
  </si>
  <si>
    <t xml:space="preserve">Bright with some sunshine. Breezy, but turning very mild though the afternoon. </t>
  </si>
  <si>
    <t>Mild and cloudy, and breezy too. Becoming cloudier still and then wet by evening.</t>
  </si>
  <si>
    <t>A wet start, and breezy too. Feeling cold, with rain clearing to give bright or sunny ints.</t>
  </si>
  <si>
    <t>NNE4</t>
  </si>
  <si>
    <t>Rather cloudy with just a few bright breaks. One or two blustery showers too.</t>
  </si>
  <si>
    <t>Rather cold and cloudy with some lightr ain or drizzle at times. Feeling raw in the wind.</t>
  </si>
  <si>
    <t>NOTES:</t>
  </si>
  <si>
    <t>This was a very mild February with a mean of 6.4C - the mildest since 2002 (6.6C). However, the mean min of 3.7C was the highest on record</t>
  </si>
  <si>
    <t>for this month! There were very few frosts, the total number of air frosts (2) being the lowest on record for February.</t>
  </si>
  <si>
    <t>It was yet another dry month, though on the driest since 2009 (24.7mm), but there was some windy weather: the highest wind gust of</t>
  </si>
  <si>
    <t xml:space="preserve">49mph was the strongest for six years at this site.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</si>
</sst>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10.1</c:v>
                </c:pt>
                <c:pt idx="1">
                  <c:v>9.6</c:v>
                </c:pt>
                <c:pt idx="2">
                  <c:v>11</c:v>
                </c:pt>
                <c:pt idx="3">
                  <c:v>12.5</c:v>
                </c:pt>
                <c:pt idx="4">
                  <c:v>13</c:v>
                </c:pt>
                <c:pt idx="5">
                  <c:v>12.8</c:v>
                </c:pt>
                <c:pt idx="6">
                  <c:v>12.6</c:v>
                </c:pt>
                <c:pt idx="7">
                  <c:v>8.8</c:v>
                </c:pt>
                <c:pt idx="8">
                  <c:v>10.3</c:v>
                </c:pt>
                <c:pt idx="9">
                  <c:v>9.4</c:v>
                </c:pt>
                <c:pt idx="10">
                  <c:v>12</c:v>
                </c:pt>
                <c:pt idx="11">
                  <c:v>10.7</c:v>
                </c:pt>
                <c:pt idx="12">
                  <c:v>8.9</c:v>
                </c:pt>
                <c:pt idx="13">
                  <c:v>7.4</c:v>
                </c:pt>
                <c:pt idx="14">
                  <c:v>5.9</c:v>
                </c:pt>
                <c:pt idx="15">
                  <c:v>6.8</c:v>
                </c:pt>
                <c:pt idx="16">
                  <c:v>7.4</c:v>
                </c:pt>
                <c:pt idx="17">
                  <c:v>5.9</c:v>
                </c:pt>
                <c:pt idx="18">
                  <c:v>5.1</c:v>
                </c:pt>
                <c:pt idx="19">
                  <c:v>3.8</c:v>
                </c:pt>
                <c:pt idx="20">
                  <c:v>4.6</c:v>
                </c:pt>
                <c:pt idx="21">
                  <c:v>7.4</c:v>
                </c:pt>
                <c:pt idx="22">
                  <c:v>11.5</c:v>
                </c:pt>
                <c:pt idx="23">
                  <c:v>14.1</c:v>
                </c:pt>
                <c:pt idx="24">
                  <c:v>12.5</c:v>
                </c:pt>
                <c:pt idx="25">
                  <c:v>9</c:v>
                </c:pt>
                <c:pt idx="26">
                  <c:v>7.2</c:v>
                </c:pt>
                <c:pt idx="27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-4.5</c:v>
                </c:pt>
                <c:pt idx="1">
                  <c:v>2.3</c:v>
                </c:pt>
                <c:pt idx="2">
                  <c:v>3.1</c:v>
                </c:pt>
                <c:pt idx="3">
                  <c:v>3.4</c:v>
                </c:pt>
                <c:pt idx="4">
                  <c:v>11</c:v>
                </c:pt>
                <c:pt idx="5">
                  <c:v>10.9</c:v>
                </c:pt>
                <c:pt idx="6">
                  <c:v>9.1</c:v>
                </c:pt>
                <c:pt idx="7">
                  <c:v>-1.1</c:v>
                </c:pt>
                <c:pt idx="8">
                  <c:v>0.5</c:v>
                </c:pt>
                <c:pt idx="9">
                  <c:v>7.2</c:v>
                </c:pt>
                <c:pt idx="10">
                  <c:v>4.8</c:v>
                </c:pt>
                <c:pt idx="11">
                  <c:v>5.4</c:v>
                </c:pt>
                <c:pt idx="12">
                  <c:v>2.8</c:v>
                </c:pt>
                <c:pt idx="13">
                  <c:v>2</c:v>
                </c:pt>
                <c:pt idx="14">
                  <c:v>0.7</c:v>
                </c:pt>
                <c:pt idx="15">
                  <c:v>0.1</c:v>
                </c:pt>
                <c:pt idx="16">
                  <c:v>0.1</c:v>
                </c:pt>
                <c:pt idx="17">
                  <c:v>4</c:v>
                </c:pt>
                <c:pt idx="18">
                  <c:v>2.3</c:v>
                </c:pt>
                <c:pt idx="19">
                  <c:v>3.6</c:v>
                </c:pt>
                <c:pt idx="20">
                  <c:v>2.2</c:v>
                </c:pt>
                <c:pt idx="21">
                  <c:v>2.7</c:v>
                </c:pt>
                <c:pt idx="22">
                  <c:v>4.3</c:v>
                </c:pt>
                <c:pt idx="23">
                  <c:v>7.5</c:v>
                </c:pt>
                <c:pt idx="24">
                  <c:v>7.1</c:v>
                </c:pt>
                <c:pt idx="25">
                  <c:v>6.5</c:v>
                </c:pt>
                <c:pt idx="26">
                  <c:v>3</c:v>
                </c:pt>
                <c:pt idx="27">
                  <c:v>3.7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377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0.7</c:v>
                </c:pt>
                <c:pt idx="8">
                  <c:v>0.6</c:v>
                </c:pt>
                <c:pt idx="9">
                  <c:v>1.5</c:v>
                </c:pt>
                <c:pt idx="10">
                  <c:v>1.6</c:v>
                </c:pt>
                <c:pt idx="11">
                  <c:v>0.2</c:v>
                </c:pt>
                <c:pt idx="12">
                  <c:v>3.8</c:v>
                </c:pt>
                <c:pt idx="13">
                  <c:v>0.7</c:v>
                </c:pt>
                <c:pt idx="14">
                  <c:v>2.3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4.1</c:v>
                </c:pt>
                <c:pt idx="19">
                  <c:v>2.3</c:v>
                </c:pt>
                <c:pt idx="20">
                  <c:v>1.1</c:v>
                </c:pt>
                <c:pt idx="21">
                  <c:v>3.8</c:v>
                </c:pt>
                <c:pt idx="22">
                  <c:v>1.3</c:v>
                </c:pt>
                <c:pt idx="23">
                  <c:v>0</c:v>
                </c:pt>
                <c:pt idx="24">
                  <c:v>9.9</c:v>
                </c:pt>
                <c:pt idx="25">
                  <c:v>0.6</c:v>
                </c:pt>
                <c:pt idx="26">
                  <c:v>1.4</c:v>
                </c:pt>
              </c:numCache>
            </c:numRef>
          </c:val>
        </c:ser>
        <c:axId val="16900353"/>
        <c:axId val="17885450"/>
      </c:barChart>
      <c:cat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900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3.8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6.5</c:v>
                </c:pt>
                <c:pt idx="8">
                  <c:v>2.6</c:v>
                </c:pt>
                <c:pt idx="9">
                  <c:v>0</c:v>
                </c:pt>
                <c:pt idx="10">
                  <c:v>2.8</c:v>
                </c:pt>
                <c:pt idx="11">
                  <c:v>5.4</c:v>
                </c:pt>
                <c:pt idx="12">
                  <c:v>0</c:v>
                </c:pt>
                <c:pt idx="13">
                  <c:v>4.3</c:v>
                </c:pt>
                <c:pt idx="14">
                  <c:v>0</c:v>
                </c:pt>
                <c:pt idx="15">
                  <c:v>1.8</c:v>
                </c:pt>
                <c:pt idx="16">
                  <c:v>0.8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5.8</c:v>
                </c:pt>
                <c:pt idx="24">
                  <c:v>0.3</c:v>
                </c:pt>
                <c:pt idx="25">
                  <c:v>2.3</c:v>
                </c:pt>
                <c:pt idx="26">
                  <c:v>0.6</c:v>
                </c:pt>
                <c:pt idx="27">
                  <c:v>0</c:v>
                </c:pt>
              </c:numCache>
            </c:numRef>
          </c:val>
        </c:ser>
        <c:axId val="26751323"/>
        <c:axId val="39435316"/>
      </c:barChart>
      <c:catAx>
        <c:axId val="2675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auto val="1"/>
        <c:lblOffset val="100"/>
        <c:noMultiLvlLbl val="0"/>
      </c:catAx>
      <c:valAx>
        <c:axId val="3943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6751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-7.5</c:v>
                </c:pt>
                <c:pt idx="1">
                  <c:v>-1</c:v>
                </c:pt>
                <c:pt idx="2">
                  <c:v>0</c:v>
                </c:pt>
                <c:pt idx="3">
                  <c:v>0.2</c:v>
                </c:pt>
                <c:pt idx="4">
                  <c:v>9.7</c:v>
                </c:pt>
                <c:pt idx="5">
                  <c:v>9.4</c:v>
                </c:pt>
                <c:pt idx="6">
                  <c:v>7.2</c:v>
                </c:pt>
                <c:pt idx="7">
                  <c:v>-5.8</c:v>
                </c:pt>
                <c:pt idx="8">
                  <c:v>-4.7</c:v>
                </c:pt>
                <c:pt idx="9">
                  <c:v>4.2</c:v>
                </c:pt>
                <c:pt idx="10">
                  <c:v>2.1</c:v>
                </c:pt>
                <c:pt idx="11">
                  <c:v>2.9</c:v>
                </c:pt>
                <c:pt idx="12">
                  <c:v>-1.6</c:v>
                </c:pt>
                <c:pt idx="13">
                  <c:v>-0.5</c:v>
                </c:pt>
                <c:pt idx="14">
                  <c:v>-3</c:v>
                </c:pt>
                <c:pt idx="15">
                  <c:v>-3.4</c:v>
                </c:pt>
                <c:pt idx="16">
                  <c:v>-3</c:v>
                </c:pt>
                <c:pt idx="17">
                  <c:v>3.7</c:v>
                </c:pt>
                <c:pt idx="18">
                  <c:v>1.9</c:v>
                </c:pt>
                <c:pt idx="19">
                  <c:v>3.9</c:v>
                </c:pt>
                <c:pt idx="20">
                  <c:v>1.3</c:v>
                </c:pt>
                <c:pt idx="21">
                  <c:v>3.5</c:v>
                </c:pt>
                <c:pt idx="22">
                  <c:v>-0.7</c:v>
                </c:pt>
                <c:pt idx="23">
                  <c:v>4.7</c:v>
                </c:pt>
                <c:pt idx="24">
                  <c:v>2.5</c:v>
                </c:pt>
                <c:pt idx="25">
                  <c:v>5.7</c:v>
                </c:pt>
                <c:pt idx="26">
                  <c:v>-1.1</c:v>
                </c:pt>
                <c:pt idx="27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 val="autoZero"/>
        <c:auto val="1"/>
        <c:lblOffset val="100"/>
        <c:noMultiLvlLbl val="0"/>
      </c:catAx>
      <c:valAx>
        <c:axId val="4014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373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1.2</c:v>
                </c:pt>
                <c:pt idx="1">
                  <c:v>2.4</c:v>
                </c:pt>
                <c:pt idx="2">
                  <c:v>3.2</c:v>
                </c:pt>
                <c:pt idx="3">
                  <c:v>6.7</c:v>
                </c:pt>
                <c:pt idx="4">
                  <c:v>8.3</c:v>
                </c:pt>
                <c:pt idx="5">
                  <c:v>8.8</c:v>
                </c:pt>
                <c:pt idx="6">
                  <c:v>7.8</c:v>
                </c:pt>
                <c:pt idx="7">
                  <c:v>4</c:v>
                </c:pt>
                <c:pt idx="8">
                  <c:v>5.9</c:v>
                </c:pt>
                <c:pt idx="9">
                  <c:v>7.3</c:v>
                </c:pt>
                <c:pt idx="10">
                  <c:v>6.8</c:v>
                </c:pt>
                <c:pt idx="11">
                  <c:v>7.7</c:v>
                </c:pt>
                <c:pt idx="12">
                  <c:v>6.5</c:v>
                </c:pt>
                <c:pt idx="13">
                  <c:v>5</c:v>
                </c:pt>
                <c:pt idx="14">
                  <c:v>4.2</c:v>
                </c:pt>
                <c:pt idx="15">
                  <c:v>3.8</c:v>
                </c:pt>
                <c:pt idx="16">
                  <c:v>5</c:v>
                </c:pt>
                <c:pt idx="17">
                  <c:v>5.7</c:v>
                </c:pt>
                <c:pt idx="18">
                  <c:v>4.5</c:v>
                </c:pt>
                <c:pt idx="19">
                  <c:v>5.5</c:v>
                </c:pt>
                <c:pt idx="20">
                  <c:v>4.5</c:v>
                </c:pt>
                <c:pt idx="21">
                  <c:v>5.1</c:v>
                </c:pt>
                <c:pt idx="22">
                  <c:v>6.6</c:v>
                </c:pt>
                <c:pt idx="23">
                  <c:v>7.3</c:v>
                </c:pt>
                <c:pt idx="24">
                  <c:v>7.5</c:v>
                </c:pt>
                <c:pt idx="25">
                  <c:v>7.9</c:v>
                </c:pt>
                <c:pt idx="26">
                  <c:v>5.6</c:v>
                </c:pt>
                <c:pt idx="27">
                  <c:v>5.6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751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2.2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7.5</c:v>
                </c:pt>
                <c:pt idx="6">
                  <c:v>7</c:v>
                </c:pt>
                <c:pt idx="7">
                  <c:v>4.5</c:v>
                </c:pt>
                <c:pt idx="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5.8</c:v>
                </c:pt>
                <c:pt idx="1">
                  <c:v>5.7</c:v>
                </c:pt>
                <c:pt idx="2">
                  <c:v>5.7</c:v>
                </c:pt>
                <c:pt idx="3">
                  <c:v>5.9</c:v>
                </c:pt>
                <c:pt idx="4">
                  <c:v>6</c:v>
                </c:pt>
                <c:pt idx="5">
                  <c:v>6.3</c:v>
                </c:pt>
                <c:pt idx="6">
                  <c:v>6.7</c:v>
                </c:pt>
                <c:pt idx="7">
                  <c:v>6.9</c:v>
                </c:pt>
                <c:pt idx="8">
                  <c:v>7</c:v>
                </c:pt>
                <c:pt idx="9">
                  <c:v>7</c:v>
                </c:pt>
                <c:pt idx="10">
                  <c:v>7.1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7.2</c:v>
                </c:pt>
                <c:pt idx="15">
                  <c:v>7.1</c:v>
                </c:pt>
                <c:pt idx="16">
                  <c:v>7.1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6.9</c:v>
                </c:pt>
                <c:pt idx="21">
                  <c:v>6.9</c:v>
                </c:pt>
                <c:pt idx="22">
                  <c:v>6.9</c:v>
                </c:pt>
                <c:pt idx="23">
                  <c:v>7</c:v>
                </c:pt>
                <c:pt idx="24">
                  <c:v>7</c:v>
                </c:pt>
                <c:pt idx="25">
                  <c:v>7.5</c:v>
                </c:pt>
                <c:pt idx="26">
                  <c:v>7.7</c:v>
                </c:pt>
                <c:pt idx="27">
                  <c:v>7.7</c:v>
                </c:pt>
              </c:numCache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09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1021.6995337740125</c:v>
                </c:pt>
                <c:pt idx="1">
                  <c:v>1022.4380792783647</c:v>
                </c:pt>
                <c:pt idx="2">
                  <c:v>1022.7722055989185</c:v>
                </c:pt>
                <c:pt idx="3">
                  <c:v>1010.0588448819659</c:v>
                </c:pt>
                <c:pt idx="4">
                  <c:v>1011.3287283629849</c:v>
                </c:pt>
                <c:pt idx="5">
                  <c:v>1015.1856851556113</c:v>
                </c:pt>
                <c:pt idx="6">
                  <c:v>1006.1624262272469</c:v>
                </c:pt>
                <c:pt idx="7">
                  <c:v>1023.5934669280241</c:v>
                </c:pt>
                <c:pt idx="8">
                  <c:v>1016.1451132491508</c:v>
                </c:pt>
                <c:pt idx="9">
                  <c:v>1011.8569558836226</c:v>
                </c:pt>
                <c:pt idx="10">
                  <c:v>1009.6600680014665</c:v>
                </c:pt>
                <c:pt idx="11">
                  <c:v>1011.0969093758639</c:v>
                </c:pt>
                <c:pt idx="12">
                  <c:v>1008.387475597701</c:v>
                </c:pt>
                <c:pt idx="13">
                  <c:v>999.571587162437</c:v>
                </c:pt>
                <c:pt idx="14">
                  <c:v>992.3472835268522</c:v>
                </c:pt>
                <c:pt idx="15">
                  <c:v>993.0870482296896</c:v>
                </c:pt>
                <c:pt idx="16">
                  <c:v>1004.6492420024526</c:v>
                </c:pt>
                <c:pt idx="17">
                  <c:v>1013.044123999935</c:v>
                </c:pt>
                <c:pt idx="18">
                  <c:v>1010.2299592721944</c:v>
                </c:pt>
                <c:pt idx="19">
                  <c:v>1017.0043850727332</c:v>
                </c:pt>
                <c:pt idx="20">
                  <c:v>1013.5993873345301</c:v>
                </c:pt>
                <c:pt idx="21">
                  <c:v>1014.9449741376561</c:v>
                </c:pt>
                <c:pt idx="22">
                  <c:v>1013.8286998208056</c:v>
                </c:pt>
                <c:pt idx="23">
                  <c:v>1020.6469264439697</c:v>
                </c:pt>
                <c:pt idx="24">
                  <c:v>1021.4254402190563</c:v>
                </c:pt>
                <c:pt idx="25">
                  <c:v>1012.9418126078041</c:v>
                </c:pt>
                <c:pt idx="26">
                  <c:v>1020.2188005888622</c:v>
                </c:pt>
                <c:pt idx="27">
                  <c:v>1031.431654002201</c:v>
                </c:pt>
              </c:numCache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65107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1.8841104156543595</c:v>
                </c:pt>
                <c:pt idx="1">
                  <c:v>3.960550027458259</c:v>
                </c:pt>
                <c:pt idx="2">
                  <c:v>1.869786589454492</c:v>
                </c:pt>
                <c:pt idx="3">
                  <c:v>8.362504884158868</c:v>
                </c:pt>
                <c:pt idx="4">
                  <c:v>8.599162333302003</c:v>
                </c:pt>
                <c:pt idx="5">
                  <c:v>8.479079916256278</c:v>
                </c:pt>
                <c:pt idx="6">
                  <c:v>7.058627415761435</c:v>
                </c:pt>
                <c:pt idx="7">
                  <c:v>-0.05702226625105103</c:v>
                </c:pt>
                <c:pt idx="8">
                  <c:v>7.171499625830043</c:v>
                </c:pt>
                <c:pt idx="9">
                  <c:v>8.387486832246916</c:v>
                </c:pt>
                <c:pt idx="10">
                  <c:v>5.170553024829862</c:v>
                </c:pt>
                <c:pt idx="11">
                  <c:v>6.631250704332244</c:v>
                </c:pt>
                <c:pt idx="12">
                  <c:v>6.11658853797081</c:v>
                </c:pt>
                <c:pt idx="13">
                  <c:v>2.3000000000000003</c:v>
                </c:pt>
                <c:pt idx="14">
                  <c:v>3.3552179583626653</c:v>
                </c:pt>
                <c:pt idx="15">
                  <c:v>-0.18096502584797455</c:v>
                </c:pt>
                <c:pt idx="16">
                  <c:v>4.061416648705455</c:v>
                </c:pt>
                <c:pt idx="17">
                  <c:v>3.3699063213917237</c:v>
                </c:pt>
                <c:pt idx="18">
                  <c:v>3.2091145133283927</c:v>
                </c:pt>
                <c:pt idx="19">
                  <c:v>3.3552179583626653</c:v>
                </c:pt>
                <c:pt idx="20">
                  <c:v>2.0328379012064572</c:v>
                </c:pt>
                <c:pt idx="21">
                  <c:v>4.363979701494693</c:v>
                </c:pt>
                <c:pt idx="22">
                  <c:v>7.18545209091717</c:v>
                </c:pt>
                <c:pt idx="23">
                  <c:v>7.538189971987188</c:v>
                </c:pt>
                <c:pt idx="24">
                  <c:v>9.197429567317291</c:v>
                </c:pt>
                <c:pt idx="25">
                  <c:v>6.360071618372471</c:v>
                </c:pt>
                <c:pt idx="26">
                  <c:v>2.3510587977969295</c:v>
                </c:pt>
                <c:pt idx="27">
                  <c:v>2.195400668654193</c:v>
                </c:pt>
              </c:numCache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auto val="1"/>
        <c:lblOffset val="100"/>
        <c:noMultiLvlLbl val="0"/>
      </c:catAx>
      <c:valAx>
        <c:axId val="120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076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58d376b-ec77-4461-bfb6-67023091a468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0.02825</cdr:y>
    </cdr:from>
    <cdr:to>
      <cdr:x>0.8965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a025505-3342-4cff-a3f0-a69bc3fef3ce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4433010-d531-423e-86a9-3ae59c48cad4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99fb75a-f611-41dd-b823-03847709d9a7}" type="TxLink">
            <a:rPr lang="en-US" cap="none" sz="1000" b="0" i="0" u="none" baseline="0">
              <a:latin typeface="Arial"/>
              <a:ea typeface="Arial"/>
              <a:cs typeface="Arial"/>
            </a:rPr>
            <a:t>3.8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d0a9eb3-d003-45fc-b77a-41b953f527e8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b184f5-9fa0-487a-9238-4af8e5776f67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43c51a5-b20e-4909-96a6-d7c9ee99c68e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b77aa72-7b6b-462a-815f-fb1ba2ad3205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568bbe3-cf38-4ce5-8141-f7e4fc5679c5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AA29" sqref="AA2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2011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2.4</v>
      </c>
      <c r="C9" s="65">
        <v>2.2</v>
      </c>
      <c r="D9" s="65">
        <v>10.1</v>
      </c>
      <c r="E9" s="65">
        <v>-4.5</v>
      </c>
      <c r="F9" s="66">
        <f aca="true" t="shared" si="0" ref="F9:F36">AVERAGE(D9:E9)</f>
        <v>2.8</v>
      </c>
      <c r="G9" s="67">
        <f>100*(AJ9/AH9)</f>
        <v>96.38189375333005</v>
      </c>
      <c r="H9" s="67">
        <f aca="true" t="shared" si="1" ref="H9:H36">AK9</f>
        <v>1.8841104156543595</v>
      </c>
      <c r="I9" s="68">
        <v>-7.5</v>
      </c>
      <c r="J9" s="66"/>
      <c r="L9" s="68">
        <v>1.2</v>
      </c>
      <c r="M9" s="65">
        <v>2.2</v>
      </c>
      <c r="N9" s="65">
        <v>4.1</v>
      </c>
      <c r="O9" s="65">
        <v>5.8</v>
      </c>
      <c r="P9" s="69" t="s">
        <v>106</v>
      </c>
      <c r="Q9" s="70">
        <v>17</v>
      </c>
      <c r="R9" s="67">
        <v>3.8</v>
      </c>
      <c r="S9" s="67">
        <v>44.3</v>
      </c>
      <c r="T9" s="67">
        <v>0.2</v>
      </c>
      <c r="U9" s="67"/>
      <c r="V9" s="71">
        <v>8</v>
      </c>
      <c r="W9" s="64">
        <v>1011</v>
      </c>
      <c r="X9" s="121">
        <f aca="true" t="shared" si="2" ref="X9:X36">W9+AU17</f>
        <v>1021.6995337740125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1</v>
      </c>
      <c r="AD9">
        <f>IF((MIN($I$9:$I$39)=$I9),A9,0)</f>
        <v>1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7.258895633275086</v>
      </c>
      <c r="AI9">
        <f aca="true" t="shared" si="5" ref="AI9:AI39">IF(W9&gt;=0,6.107*EXP(17.38*(C9/(239+C9))),6.107*EXP(22.44*(C9/(272.4+C9))))</f>
        <v>7.1560610769283075</v>
      </c>
      <c r="AJ9">
        <f aca="true" t="shared" si="6" ref="AJ9:AJ39">IF(C9&gt;=0,AI9-(0.000799*1000*(B9-C9)),AI9-(0.00072*1000*(B9-C9)))</f>
        <v>6.996261076928308</v>
      </c>
      <c r="AK9">
        <f>239*LN(AJ9/6.107)/(17.38-LN(AJ9/6.107))</f>
        <v>1.8841104156543595</v>
      </c>
      <c r="AM9">
        <f>COUNTIF(V9:V39,"&lt;1")</f>
        <v>3</v>
      </c>
      <c r="AN9">
        <f>COUNTIF(E9:E39,"&lt;0")</f>
        <v>2</v>
      </c>
      <c r="AO9">
        <f>COUNTIF(I9:I39,"&lt;0")</f>
        <v>12</v>
      </c>
      <c r="AP9">
        <f>COUNTIF(Q9:Q39,"&gt;=39")</f>
        <v>4</v>
      </c>
    </row>
    <row r="10" spans="1:37" ht="12.75">
      <c r="A10" s="72">
        <v>2</v>
      </c>
      <c r="B10" s="73">
        <v>4.2</v>
      </c>
      <c r="C10" s="74">
        <v>4.1</v>
      </c>
      <c r="D10" s="74">
        <v>9.6</v>
      </c>
      <c r="E10" s="74">
        <v>2.3</v>
      </c>
      <c r="F10" s="75">
        <f t="shared" si="0"/>
        <v>5.949999999999999</v>
      </c>
      <c r="G10" s="67">
        <f aca="true" t="shared" si="7" ref="G10:G36">100*(AJ10/AH10)</f>
        <v>98.3307822035608</v>
      </c>
      <c r="H10" s="76">
        <f t="shared" si="1"/>
        <v>3.960550027458259</v>
      </c>
      <c r="I10" s="77">
        <v>-1</v>
      </c>
      <c r="J10" s="75"/>
      <c r="L10" s="77">
        <v>2.4</v>
      </c>
      <c r="M10" s="74">
        <v>3</v>
      </c>
      <c r="N10" s="74">
        <v>4.1</v>
      </c>
      <c r="O10" s="74">
        <v>5.7</v>
      </c>
      <c r="P10" s="78" t="s">
        <v>105</v>
      </c>
      <c r="Q10" s="79">
        <v>31</v>
      </c>
      <c r="R10" s="76">
        <v>0.6</v>
      </c>
      <c r="S10" s="76">
        <v>30</v>
      </c>
      <c r="T10" s="76">
        <v>0</v>
      </c>
      <c r="U10" s="76"/>
      <c r="V10" s="80">
        <v>8</v>
      </c>
      <c r="W10" s="73">
        <v>1011.8</v>
      </c>
      <c r="X10" s="121">
        <f t="shared" si="2"/>
        <v>1022.4380792783647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8.244808096108713</v>
      </c>
      <c r="AI10">
        <f t="shared" si="5"/>
        <v>8.187084292086206</v>
      </c>
      <c r="AJ10">
        <f t="shared" si="6"/>
        <v>8.107184292086206</v>
      </c>
      <c r="AK10">
        <f aca="true" t="shared" si="12" ref="AK10:AK39">239*LN(AJ10/6.107)/(17.38-LN(AJ10/6.107))</f>
        <v>3.960550027458259</v>
      </c>
    </row>
    <row r="11" spans="1:37" ht="12.75">
      <c r="A11" s="63">
        <v>3</v>
      </c>
      <c r="B11" s="64">
        <v>3.4</v>
      </c>
      <c r="C11" s="65">
        <v>2.8</v>
      </c>
      <c r="D11" s="65">
        <v>11</v>
      </c>
      <c r="E11" s="65">
        <v>3.1</v>
      </c>
      <c r="F11" s="66">
        <f t="shared" si="0"/>
        <v>7.05</v>
      </c>
      <c r="G11" s="67">
        <f t="shared" si="7"/>
        <v>89.68522808952157</v>
      </c>
      <c r="H11" s="67">
        <f t="shared" si="1"/>
        <v>1.869786589454492</v>
      </c>
      <c r="I11" s="68">
        <v>0</v>
      </c>
      <c r="J11" s="66"/>
      <c r="K11" s="68"/>
      <c r="L11" s="65">
        <v>3.2</v>
      </c>
      <c r="M11" s="65">
        <v>3</v>
      </c>
      <c r="N11" s="65">
        <v>4.7</v>
      </c>
      <c r="O11" s="66">
        <v>5.7</v>
      </c>
      <c r="P11" s="69" t="s">
        <v>109</v>
      </c>
      <c r="Q11" s="70">
        <v>40</v>
      </c>
      <c r="R11" s="67">
        <v>0</v>
      </c>
      <c r="S11" s="67">
        <v>20</v>
      </c>
      <c r="T11" s="67">
        <v>0</v>
      </c>
      <c r="U11" s="67"/>
      <c r="V11" s="71">
        <v>3</v>
      </c>
      <c r="W11" s="64">
        <v>1012.1</v>
      </c>
      <c r="X11" s="121">
        <f t="shared" si="2"/>
        <v>1022.7722055989185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7.792911450727639</v>
      </c>
      <c r="AI11">
        <f t="shared" si="5"/>
        <v>7.468490409399528</v>
      </c>
      <c r="AJ11">
        <f t="shared" si="6"/>
        <v>6.989090409399528</v>
      </c>
      <c r="AK11">
        <f t="shared" si="12"/>
        <v>1.869786589454492</v>
      </c>
    </row>
    <row r="12" spans="1:37" ht="12.75">
      <c r="A12" s="72">
        <v>4</v>
      </c>
      <c r="B12" s="73">
        <v>11</v>
      </c>
      <c r="C12" s="74">
        <v>9.7</v>
      </c>
      <c r="D12" s="74">
        <v>12.5</v>
      </c>
      <c r="E12" s="74">
        <v>3.4</v>
      </c>
      <c r="F12" s="75">
        <f t="shared" si="0"/>
        <v>7.95</v>
      </c>
      <c r="G12" s="67">
        <f t="shared" si="7"/>
        <v>83.76458233434954</v>
      </c>
      <c r="H12" s="76">
        <f t="shared" si="1"/>
        <v>8.362504884158868</v>
      </c>
      <c r="I12" s="77">
        <v>0.2</v>
      </c>
      <c r="J12" s="75"/>
      <c r="K12" s="77"/>
      <c r="L12" s="74">
        <v>6.7</v>
      </c>
      <c r="M12" s="74">
        <v>7</v>
      </c>
      <c r="N12" s="74">
        <v>5.1</v>
      </c>
      <c r="O12" s="75">
        <v>5.9</v>
      </c>
      <c r="P12" s="78" t="s">
        <v>113</v>
      </c>
      <c r="Q12" s="79">
        <v>42</v>
      </c>
      <c r="R12" s="76">
        <v>0</v>
      </c>
      <c r="S12" s="76">
        <v>18</v>
      </c>
      <c r="T12" s="76" t="s">
        <v>114</v>
      </c>
      <c r="U12" s="76"/>
      <c r="V12" s="80">
        <v>8</v>
      </c>
      <c r="W12" s="73">
        <v>999.8</v>
      </c>
      <c r="X12" s="121">
        <f t="shared" si="2"/>
        <v>1010.0588448819659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13.120234466007751</v>
      </c>
      <c r="AI12">
        <f t="shared" si="5"/>
        <v>12.028809601738768</v>
      </c>
      <c r="AJ12">
        <f t="shared" si="6"/>
        <v>10.990109601738768</v>
      </c>
      <c r="AK12">
        <f t="shared" si="12"/>
        <v>8.362504884158868</v>
      </c>
    </row>
    <row r="13" spans="1:37" ht="12.75">
      <c r="A13" s="63">
        <v>5</v>
      </c>
      <c r="B13" s="64">
        <v>12.2</v>
      </c>
      <c r="C13" s="65">
        <v>10.4</v>
      </c>
      <c r="D13" s="65">
        <v>13</v>
      </c>
      <c r="E13" s="65">
        <v>11</v>
      </c>
      <c r="F13" s="66">
        <f t="shared" si="0"/>
        <v>12</v>
      </c>
      <c r="G13" s="67">
        <f t="shared" si="7"/>
        <v>78.62488697594068</v>
      </c>
      <c r="H13" s="67">
        <f t="shared" si="1"/>
        <v>8.599162333302003</v>
      </c>
      <c r="I13" s="68">
        <v>9.7</v>
      </c>
      <c r="J13" s="66"/>
      <c r="K13" s="68"/>
      <c r="L13" s="65">
        <v>8.3</v>
      </c>
      <c r="M13" s="65">
        <v>7</v>
      </c>
      <c r="N13" s="65">
        <v>6</v>
      </c>
      <c r="O13" s="66">
        <v>6</v>
      </c>
      <c r="P13" s="69" t="s">
        <v>112</v>
      </c>
      <c r="Q13" s="70">
        <v>36</v>
      </c>
      <c r="R13" s="67">
        <v>0</v>
      </c>
      <c r="S13" s="67">
        <v>19</v>
      </c>
      <c r="T13" s="67">
        <v>0.1</v>
      </c>
      <c r="U13" s="67"/>
      <c r="V13" s="71">
        <v>8</v>
      </c>
      <c r="W13" s="64">
        <v>1001.1</v>
      </c>
      <c r="X13" s="121">
        <f t="shared" si="2"/>
        <v>1011.3287283629849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14.204062438763</v>
      </c>
      <c r="AI13">
        <f t="shared" si="5"/>
        <v>12.606128038469452</v>
      </c>
      <c r="AJ13">
        <f t="shared" si="6"/>
        <v>11.167928038469451</v>
      </c>
      <c r="AK13">
        <f t="shared" si="12"/>
        <v>8.599162333302003</v>
      </c>
    </row>
    <row r="14" spans="1:37" ht="12.75">
      <c r="A14" s="72">
        <v>6</v>
      </c>
      <c r="B14" s="73">
        <v>11.7</v>
      </c>
      <c r="C14" s="74">
        <v>10.1</v>
      </c>
      <c r="D14" s="74">
        <v>12.8</v>
      </c>
      <c r="E14" s="74">
        <v>10.9</v>
      </c>
      <c r="F14" s="75">
        <f t="shared" si="0"/>
        <v>11.850000000000001</v>
      </c>
      <c r="G14" s="67">
        <f t="shared" si="7"/>
        <v>80.60232285595474</v>
      </c>
      <c r="H14" s="76">
        <f t="shared" si="1"/>
        <v>8.479079916256278</v>
      </c>
      <c r="I14" s="77">
        <v>9.4</v>
      </c>
      <c r="J14" s="75"/>
      <c r="K14" s="77"/>
      <c r="L14" s="74">
        <v>8.8</v>
      </c>
      <c r="M14" s="74">
        <v>7.5</v>
      </c>
      <c r="N14" s="74">
        <v>6.8</v>
      </c>
      <c r="O14" s="75">
        <v>6.3</v>
      </c>
      <c r="P14" s="78" t="s">
        <v>112</v>
      </c>
      <c r="Q14" s="79">
        <v>40</v>
      </c>
      <c r="R14" s="76">
        <v>0</v>
      </c>
      <c r="S14" s="76">
        <v>18</v>
      </c>
      <c r="T14" s="76">
        <v>0</v>
      </c>
      <c r="U14" s="76"/>
      <c r="V14" s="80">
        <v>8</v>
      </c>
      <c r="W14" s="73">
        <v>1004.9</v>
      </c>
      <c r="X14" s="121">
        <f t="shared" si="2"/>
        <v>1015.1856851556113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13.743260220579202</v>
      </c>
      <c r="AI14">
        <f t="shared" si="5"/>
        <v>12.355786973925246</v>
      </c>
      <c r="AJ14">
        <f t="shared" si="6"/>
        <v>11.077386973925247</v>
      </c>
      <c r="AK14">
        <f t="shared" si="12"/>
        <v>8.479079916256278</v>
      </c>
    </row>
    <row r="15" spans="1:37" ht="12.75">
      <c r="A15" s="63">
        <v>7</v>
      </c>
      <c r="B15" s="64">
        <v>9.8</v>
      </c>
      <c r="C15" s="65">
        <v>8.5</v>
      </c>
      <c r="D15" s="65">
        <v>12.6</v>
      </c>
      <c r="E15" s="65">
        <v>9.1</v>
      </c>
      <c r="F15" s="66">
        <f t="shared" si="0"/>
        <v>10.85</v>
      </c>
      <c r="G15" s="67">
        <f t="shared" si="7"/>
        <v>83.02686803206426</v>
      </c>
      <c r="H15" s="67">
        <f t="shared" si="1"/>
        <v>7.058627415761435</v>
      </c>
      <c r="I15" s="68">
        <v>7.2</v>
      </c>
      <c r="J15" s="66"/>
      <c r="K15" s="68"/>
      <c r="L15" s="65">
        <v>7.8</v>
      </c>
      <c r="M15" s="65">
        <v>7</v>
      </c>
      <c r="N15" s="65">
        <v>7.1</v>
      </c>
      <c r="O15" s="66">
        <v>6.7</v>
      </c>
      <c r="P15" s="69" t="s">
        <v>116</v>
      </c>
      <c r="Q15" s="70">
        <v>49</v>
      </c>
      <c r="R15" s="67">
        <v>1.5</v>
      </c>
      <c r="S15" s="67">
        <v>45.2</v>
      </c>
      <c r="T15" s="67">
        <v>0</v>
      </c>
      <c r="U15" s="67"/>
      <c r="V15" s="71">
        <v>8</v>
      </c>
      <c r="W15" s="64">
        <v>995.9</v>
      </c>
      <c r="X15" s="121">
        <f t="shared" si="2"/>
        <v>1006.1624262272469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12.109831554040031</v>
      </c>
      <c r="AI15">
        <f t="shared" si="5"/>
        <v>11.093113863278093</v>
      </c>
      <c r="AJ15">
        <f t="shared" si="6"/>
        <v>10.054413863278093</v>
      </c>
      <c r="AK15">
        <f t="shared" si="12"/>
        <v>7.058627415761435</v>
      </c>
    </row>
    <row r="16" spans="1:37" ht="12.75">
      <c r="A16" s="72">
        <v>8</v>
      </c>
      <c r="B16" s="73">
        <v>0.5</v>
      </c>
      <c r="C16" s="74">
        <v>0.3</v>
      </c>
      <c r="D16" s="74">
        <v>8.8</v>
      </c>
      <c r="E16" s="74">
        <v>-1.1</v>
      </c>
      <c r="F16" s="75">
        <f t="shared" si="0"/>
        <v>3.8500000000000005</v>
      </c>
      <c r="G16" s="67">
        <f t="shared" si="7"/>
        <v>96.03748955746187</v>
      </c>
      <c r="H16" s="76">
        <f t="shared" si="1"/>
        <v>-0.05702226625105103</v>
      </c>
      <c r="I16" s="77">
        <v>-5.8</v>
      </c>
      <c r="J16" s="75"/>
      <c r="K16" s="77"/>
      <c r="L16" s="74">
        <v>4</v>
      </c>
      <c r="M16" s="74">
        <v>4.5</v>
      </c>
      <c r="N16" s="74">
        <v>7</v>
      </c>
      <c r="O16" s="75">
        <v>6.9</v>
      </c>
      <c r="P16" s="78" t="s">
        <v>119</v>
      </c>
      <c r="Q16" s="79">
        <v>15</v>
      </c>
      <c r="R16" s="76">
        <v>6.5</v>
      </c>
      <c r="S16" s="76">
        <v>45.2</v>
      </c>
      <c r="T16" s="76">
        <v>0.7</v>
      </c>
      <c r="U16" s="76"/>
      <c r="V16" s="80">
        <v>0</v>
      </c>
      <c r="W16" s="73">
        <v>1012.8</v>
      </c>
      <c r="X16" s="121">
        <f t="shared" si="2"/>
        <v>1023.5934669280241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8</v>
      </c>
      <c r="AH16">
        <f t="shared" si="11"/>
        <v>6.332654997374652</v>
      </c>
      <c r="AI16">
        <f t="shared" si="5"/>
        <v>6.2415228818137685</v>
      </c>
      <c r="AJ16">
        <f t="shared" si="6"/>
        <v>6.081722881813769</v>
      </c>
      <c r="AK16">
        <f t="shared" si="12"/>
        <v>-0.05702226625105103</v>
      </c>
    </row>
    <row r="17" spans="1:47" ht="12.75">
      <c r="A17" s="63">
        <v>9</v>
      </c>
      <c r="B17" s="64">
        <v>7.6</v>
      </c>
      <c r="C17" s="65">
        <v>7.4</v>
      </c>
      <c r="D17" s="65">
        <v>10.3</v>
      </c>
      <c r="E17" s="65">
        <v>0.5</v>
      </c>
      <c r="F17" s="66">
        <f t="shared" si="0"/>
        <v>5.4</v>
      </c>
      <c r="G17" s="67">
        <f t="shared" si="7"/>
        <v>97.11053941581304</v>
      </c>
      <c r="H17" s="67">
        <f t="shared" si="1"/>
        <v>7.171499625830043</v>
      </c>
      <c r="I17" s="68">
        <v>-4.7</v>
      </c>
      <c r="J17" s="66"/>
      <c r="K17" s="68"/>
      <c r="L17" s="65">
        <v>5.9</v>
      </c>
      <c r="M17" s="65">
        <v>6</v>
      </c>
      <c r="N17" s="65">
        <v>6.3</v>
      </c>
      <c r="O17" s="66">
        <v>7</v>
      </c>
      <c r="P17" s="69" t="s">
        <v>121</v>
      </c>
      <c r="Q17" s="70">
        <v>21</v>
      </c>
      <c r="R17" s="67">
        <v>2.6</v>
      </c>
      <c r="S17" s="67">
        <v>40.5</v>
      </c>
      <c r="T17" s="67">
        <v>0.6</v>
      </c>
      <c r="U17" s="67"/>
      <c r="V17" s="71">
        <v>8</v>
      </c>
      <c r="W17" s="64">
        <v>1005.7</v>
      </c>
      <c r="X17" s="121">
        <f t="shared" si="2"/>
        <v>1016.1451132491508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10.434027213964692</v>
      </c>
      <c r="AI17">
        <f t="shared" si="5"/>
        <v>10.29234011027384</v>
      </c>
      <c r="AJ17">
        <f t="shared" si="6"/>
        <v>10.13254011027384</v>
      </c>
      <c r="AK17">
        <f t="shared" si="12"/>
        <v>7.171499625830043</v>
      </c>
      <c r="AU17">
        <f aca="true" t="shared" si="13" ref="AU17:AU47">W9*(10^(85/(18429.1+(67.53*B9)+(0.003*31)))-1)</f>
        <v>10.699533774012533</v>
      </c>
    </row>
    <row r="18" spans="1:47" ht="12.75">
      <c r="A18" s="72">
        <v>10</v>
      </c>
      <c r="B18" s="73">
        <v>8.8</v>
      </c>
      <c r="C18" s="74">
        <v>8.6</v>
      </c>
      <c r="D18" s="74">
        <v>9.4</v>
      </c>
      <c r="E18" s="74">
        <v>7.2</v>
      </c>
      <c r="F18" s="75">
        <f t="shared" si="0"/>
        <v>8.3</v>
      </c>
      <c r="G18" s="67">
        <f t="shared" si="7"/>
        <v>97.24354449474633</v>
      </c>
      <c r="H18" s="76">
        <f t="shared" si="1"/>
        <v>8.387486832246916</v>
      </c>
      <c r="I18" s="77">
        <v>4.2</v>
      </c>
      <c r="J18" s="75"/>
      <c r="K18" s="77"/>
      <c r="L18" s="74">
        <v>7.3</v>
      </c>
      <c r="M18" s="74">
        <v>6.5</v>
      </c>
      <c r="N18" s="74">
        <v>6.7</v>
      </c>
      <c r="O18" s="75">
        <v>7</v>
      </c>
      <c r="P18" s="78" t="s">
        <v>109</v>
      </c>
      <c r="Q18" s="79">
        <v>15</v>
      </c>
      <c r="R18" s="76">
        <v>0</v>
      </c>
      <c r="S18" s="76">
        <v>19</v>
      </c>
      <c r="T18" s="76">
        <v>1.5</v>
      </c>
      <c r="U18" s="76"/>
      <c r="V18" s="80">
        <v>8</v>
      </c>
      <c r="W18" s="73">
        <v>1001.5</v>
      </c>
      <c r="X18" s="121">
        <f t="shared" si="2"/>
        <v>1011.8569558836226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11.32081514642534</v>
      </c>
      <c r="AI18">
        <f t="shared" si="5"/>
        <v>11.16856191408211</v>
      </c>
      <c r="AJ18">
        <f t="shared" si="6"/>
        <v>11.00876191408211</v>
      </c>
      <c r="AK18">
        <f t="shared" si="12"/>
        <v>8.387486832246916</v>
      </c>
      <c r="AU18">
        <f t="shared" si="13"/>
        <v>10.638079278364794</v>
      </c>
    </row>
    <row r="19" spans="1:47" ht="12.75">
      <c r="A19" s="63">
        <v>11</v>
      </c>
      <c r="B19" s="64">
        <v>5.4</v>
      </c>
      <c r="C19" s="65">
        <v>5.3</v>
      </c>
      <c r="D19" s="65">
        <v>12</v>
      </c>
      <c r="E19" s="65">
        <v>4.8</v>
      </c>
      <c r="F19" s="66">
        <f t="shared" si="0"/>
        <v>8.4</v>
      </c>
      <c r="G19" s="67">
        <f t="shared" si="7"/>
        <v>98.41557366858534</v>
      </c>
      <c r="H19" s="67">
        <f t="shared" si="1"/>
        <v>5.170553024829862</v>
      </c>
      <c r="I19" s="68">
        <v>2.1</v>
      </c>
      <c r="J19" s="66"/>
      <c r="K19" s="68"/>
      <c r="L19" s="65">
        <v>6.8</v>
      </c>
      <c r="M19" s="65">
        <v>6</v>
      </c>
      <c r="N19" s="65">
        <v>7</v>
      </c>
      <c r="O19" s="66">
        <v>7.1</v>
      </c>
      <c r="P19" s="69" t="s">
        <v>127</v>
      </c>
      <c r="Q19" s="70">
        <v>12</v>
      </c>
      <c r="R19" s="67">
        <v>2.8</v>
      </c>
      <c r="S19" s="67">
        <v>47.9</v>
      </c>
      <c r="T19" s="67">
        <v>1.6</v>
      </c>
      <c r="U19" s="67"/>
      <c r="V19" s="71">
        <v>8</v>
      </c>
      <c r="W19" s="64">
        <v>999.2</v>
      </c>
      <c r="X19" s="121">
        <f t="shared" si="2"/>
        <v>1009.6600680014665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8.966052258259293</v>
      </c>
      <c r="AI19">
        <f t="shared" si="5"/>
        <v>8.903891765391034</v>
      </c>
      <c r="AJ19">
        <f t="shared" si="6"/>
        <v>8.823991765391034</v>
      </c>
      <c r="AK19">
        <f t="shared" si="12"/>
        <v>5.170553024829862</v>
      </c>
      <c r="AU19">
        <f t="shared" si="13"/>
        <v>10.672205598918492</v>
      </c>
    </row>
    <row r="20" spans="1:47" ht="12.75">
      <c r="A20" s="72">
        <v>12</v>
      </c>
      <c r="B20" s="73">
        <v>7.5</v>
      </c>
      <c r="C20" s="74">
        <v>7.1</v>
      </c>
      <c r="D20" s="74">
        <v>10.7</v>
      </c>
      <c r="E20" s="74">
        <v>5.4</v>
      </c>
      <c r="F20" s="75">
        <f t="shared" si="0"/>
        <v>8.05</v>
      </c>
      <c r="G20" s="67">
        <f t="shared" si="7"/>
        <v>94.21419178203698</v>
      </c>
      <c r="H20" s="76">
        <f t="shared" si="1"/>
        <v>6.631250704332244</v>
      </c>
      <c r="I20" s="77">
        <v>2.9</v>
      </c>
      <c r="J20" s="75"/>
      <c r="K20" s="77"/>
      <c r="L20" s="74">
        <v>7.7</v>
      </c>
      <c r="M20" s="74">
        <v>7</v>
      </c>
      <c r="N20" s="74">
        <v>7.2</v>
      </c>
      <c r="O20" s="75">
        <v>7.1</v>
      </c>
      <c r="P20" s="78" t="s">
        <v>124</v>
      </c>
      <c r="Q20" s="79">
        <v>21</v>
      </c>
      <c r="R20" s="76">
        <v>5.4</v>
      </c>
      <c r="S20" s="76">
        <v>45</v>
      </c>
      <c r="T20" s="76">
        <v>0.2</v>
      </c>
      <c r="U20" s="76"/>
      <c r="V20" s="80">
        <v>4</v>
      </c>
      <c r="W20" s="73">
        <v>1000.7</v>
      </c>
      <c r="X20" s="121">
        <f t="shared" si="2"/>
        <v>1011.0969093758639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10.362970252792357</v>
      </c>
      <c r="AI20">
        <f t="shared" si="5"/>
        <v>10.082988668281233</v>
      </c>
      <c r="AJ20">
        <f t="shared" si="6"/>
        <v>9.763388668281234</v>
      </c>
      <c r="AK20">
        <f t="shared" si="12"/>
        <v>6.631250704332244</v>
      </c>
      <c r="AU20">
        <f t="shared" si="13"/>
        <v>10.25884488196595</v>
      </c>
    </row>
    <row r="21" spans="1:47" ht="12.75">
      <c r="A21" s="63">
        <v>13</v>
      </c>
      <c r="B21" s="64">
        <v>7</v>
      </c>
      <c r="C21" s="65">
        <v>6.6</v>
      </c>
      <c r="D21" s="65">
        <v>8.9</v>
      </c>
      <c r="E21" s="65">
        <v>2.8</v>
      </c>
      <c r="F21" s="66">
        <f t="shared" si="0"/>
        <v>5.85</v>
      </c>
      <c r="G21" s="67">
        <f t="shared" si="7"/>
        <v>94.09587954653512</v>
      </c>
      <c r="H21" s="67">
        <f t="shared" si="1"/>
        <v>6.11658853797081</v>
      </c>
      <c r="I21" s="68">
        <v>-1.6</v>
      </c>
      <c r="J21" s="66"/>
      <c r="K21" s="68"/>
      <c r="L21" s="65">
        <v>6.5</v>
      </c>
      <c r="M21" s="65">
        <v>7</v>
      </c>
      <c r="N21" s="65">
        <v>7</v>
      </c>
      <c r="O21" s="66">
        <v>7.2</v>
      </c>
      <c r="P21" s="69" t="s">
        <v>126</v>
      </c>
      <c r="Q21" s="70">
        <v>31</v>
      </c>
      <c r="R21" s="67">
        <v>0</v>
      </c>
      <c r="S21" s="67">
        <v>17</v>
      </c>
      <c r="T21" s="67">
        <v>3.8</v>
      </c>
      <c r="U21" s="67"/>
      <c r="V21" s="71">
        <v>8</v>
      </c>
      <c r="W21" s="64">
        <v>998</v>
      </c>
      <c r="X21" s="121">
        <f t="shared" si="2"/>
        <v>1008.387475597701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10.014043920115377</v>
      </c>
      <c r="AI21">
        <f t="shared" si="5"/>
        <v>9.742402704808889</v>
      </c>
      <c r="AJ21">
        <f t="shared" si="6"/>
        <v>9.422802704808888</v>
      </c>
      <c r="AK21">
        <f t="shared" si="12"/>
        <v>6.11658853797081</v>
      </c>
      <c r="AU21">
        <f t="shared" si="13"/>
        <v>10.228728362984796</v>
      </c>
    </row>
    <row r="22" spans="1:47" ht="12.75">
      <c r="A22" s="72">
        <v>14</v>
      </c>
      <c r="B22" s="73">
        <v>2.3</v>
      </c>
      <c r="C22" s="74">
        <v>2.3</v>
      </c>
      <c r="D22" s="74">
        <v>7.4</v>
      </c>
      <c r="E22" s="74">
        <v>2</v>
      </c>
      <c r="F22" s="75">
        <f t="shared" si="0"/>
        <v>4.7</v>
      </c>
      <c r="G22" s="67">
        <f t="shared" si="7"/>
        <v>100</v>
      </c>
      <c r="H22" s="76">
        <f t="shared" si="1"/>
        <v>2.3000000000000003</v>
      </c>
      <c r="I22" s="77">
        <v>-0.5</v>
      </c>
      <c r="J22" s="75"/>
      <c r="K22" s="77"/>
      <c r="L22" s="74">
        <v>5</v>
      </c>
      <c r="M22" s="74">
        <v>5.5</v>
      </c>
      <c r="N22" s="74">
        <v>7.1</v>
      </c>
      <c r="O22" s="75">
        <v>7.3</v>
      </c>
      <c r="P22" s="78" t="s">
        <v>105</v>
      </c>
      <c r="Q22" s="79">
        <v>22</v>
      </c>
      <c r="R22" s="76">
        <v>4.3</v>
      </c>
      <c r="S22" s="76">
        <v>52.7</v>
      </c>
      <c r="T22" s="76">
        <v>0.7</v>
      </c>
      <c r="U22" s="76"/>
      <c r="V22" s="80">
        <v>0</v>
      </c>
      <c r="W22" s="73">
        <v>989.1</v>
      </c>
      <c r="X22" s="121">
        <f t="shared" si="2"/>
        <v>999.571587162437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7.207316258744711</v>
      </c>
      <c r="AI22">
        <f t="shared" si="5"/>
        <v>7.207316258744711</v>
      </c>
      <c r="AJ22">
        <f t="shared" si="6"/>
        <v>7.207316258744711</v>
      </c>
      <c r="AK22">
        <f t="shared" si="12"/>
        <v>2.3000000000000003</v>
      </c>
      <c r="AU22">
        <f t="shared" si="13"/>
        <v>10.285685155611333</v>
      </c>
    </row>
    <row r="23" spans="1:47" ht="12.75">
      <c r="A23" s="63">
        <v>15</v>
      </c>
      <c r="B23" s="64">
        <v>3.6</v>
      </c>
      <c r="C23" s="65">
        <v>3.5</v>
      </c>
      <c r="D23" s="65">
        <v>5.9</v>
      </c>
      <c r="E23" s="65">
        <v>0.7</v>
      </c>
      <c r="F23" s="66">
        <f t="shared" si="0"/>
        <v>3.3000000000000003</v>
      </c>
      <c r="G23" s="67">
        <f t="shared" si="7"/>
        <v>98.28551290449003</v>
      </c>
      <c r="H23" s="67">
        <f t="shared" si="1"/>
        <v>3.3552179583626653</v>
      </c>
      <c r="I23" s="68">
        <v>-3</v>
      </c>
      <c r="J23" s="66"/>
      <c r="K23" s="68"/>
      <c r="L23" s="65">
        <v>4.2</v>
      </c>
      <c r="M23" s="155">
        <v>5</v>
      </c>
      <c r="N23" s="65">
        <v>6.6</v>
      </c>
      <c r="O23" s="65">
        <v>7.2</v>
      </c>
      <c r="P23" s="69" t="s">
        <v>131</v>
      </c>
      <c r="Q23" s="70">
        <v>21</v>
      </c>
      <c r="R23" s="67">
        <v>0</v>
      </c>
      <c r="S23" s="67">
        <v>20</v>
      </c>
      <c r="T23" s="67">
        <v>2.3</v>
      </c>
      <c r="U23" s="67"/>
      <c r="V23" s="71">
        <v>4</v>
      </c>
      <c r="W23" s="64">
        <v>982</v>
      </c>
      <c r="X23" s="121">
        <f t="shared" si="2"/>
        <v>992.3472835268522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7.903784318055541</v>
      </c>
      <c r="AI23">
        <f t="shared" si="5"/>
        <v>7.848174955865539</v>
      </c>
      <c r="AJ23">
        <f t="shared" si="6"/>
        <v>7.768274955865539</v>
      </c>
      <c r="AK23">
        <f t="shared" si="12"/>
        <v>3.3552179583626653</v>
      </c>
      <c r="AU23">
        <f t="shared" si="13"/>
        <v>10.262426227246905</v>
      </c>
    </row>
    <row r="24" spans="1:47" ht="12.75">
      <c r="A24" s="72">
        <v>16</v>
      </c>
      <c r="B24" s="73">
        <v>0.1</v>
      </c>
      <c r="C24" s="74">
        <v>0</v>
      </c>
      <c r="D24" s="74">
        <v>6.8</v>
      </c>
      <c r="E24" s="74">
        <v>0.1</v>
      </c>
      <c r="F24" s="75">
        <f t="shared" si="0"/>
        <v>3.4499999999999997</v>
      </c>
      <c r="G24" s="67">
        <f t="shared" si="7"/>
        <v>97.976883968747</v>
      </c>
      <c r="H24" s="76">
        <f t="shared" si="1"/>
        <v>-0.18096502584797455</v>
      </c>
      <c r="I24" s="77">
        <v>-3.4</v>
      </c>
      <c r="J24" s="75"/>
      <c r="K24" s="77"/>
      <c r="L24" s="74">
        <v>3.8</v>
      </c>
      <c r="M24" s="74">
        <v>4</v>
      </c>
      <c r="N24" s="74">
        <v>6.4</v>
      </c>
      <c r="O24" s="75">
        <v>7.1</v>
      </c>
      <c r="P24" s="78" t="s">
        <v>133</v>
      </c>
      <c r="Q24" s="79">
        <v>18</v>
      </c>
      <c r="R24" s="76">
        <v>1.8</v>
      </c>
      <c r="S24" s="76">
        <v>52</v>
      </c>
      <c r="T24" s="76">
        <v>0</v>
      </c>
      <c r="U24" s="76"/>
      <c r="V24" s="80">
        <v>0</v>
      </c>
      <c r="W24" s="73">
        <v>982.6</v>
      </c>
      <c r="X24" s="121">
        <f t="shared" si="2"/>
        <v>993.0870482296896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6.1515530560479394</v>
      </c>
      <c r="AI24">
        <f t="shared" si="5"/>
        <v>6.107</v>
      </c>
      <c r="AJ24">
        <f t="shared" si="6"/>
        <v>6.0271</v>
      </c>
      <c r="AK24">
        <f t="shared" si="12"/>
        <v>-0.18096502584797455</v>
      </c>
      <c r="AU24">
        <f t="shared" si="13"/>
        <v>10.79346692802415</v>
      </c>
    </row>
    <row r="25" spans="1:47" ht="12.75">
      <c r="A25" s="63">
        <v>17</v>
      </c>
      <c r="B25" s="64">
        <v>4.3</v>
      </c>
      <c r="C25" s="65">
        <v>4.2</v>
      </c>
      <c r="D25" s="65">
        <v>7.4</v>
      </c>
      <c r="E25" s="65">
        <v>0.1</v>
      </c>
      <c r="F25" s="66">
        <f t="shared" si="0"/>
        <v>3.75</v>
      </c>
      <c r="G25" s="67">
        <f t="shared" si="7"/>
        <v>98.33813500623953</v>
      </c>
      <c r="H25" s="67">
        <f t="shared" si="1"/>
        <v>4.061416648705455</v>
      </c>
      <c r="I25" s="68">
        <v>-3</v>
      </c>
      <c r="J25" s="66"/>
      <c r="K25" s="68"/>
      <c r="L25" s="65">
        <v>5</v>
      </c>
      <c r="M25" s="65">
        <v>5.5</v>
      </c>
      <c r="N25" s="65">
        <v>6.2</v>
      </c>
      <c r="O25" s="66">
        <v>7.1</v>
      </c>
      <c r="P25" s="69" t="s">
        <v>135</v>
      </c>
      <c r="Q25" s="70">
        <v>13</v>
      </c>
      <c r="R25" s="67">
        <v>0.8</v>
      </c>
      <c r="S25" s="67">
        <v>34.3</v>
      </c>
      <c r="T25" s="67">
        <v>0</v>
      </c>
      <c r="U25" s="67"/>
      <c r="V25" s="71">
        <v>8</v>
      </c>
      <c r="W25" s="64">
        <v>994.2</v>
      </c>
      <c r="X25" s="121">
        <f t="shared" si="2"/>
        <v>1004.6492420024526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8.302890934011156</v>
      </c>
      <c r="AI25">
        <f t="shared" si="5"/>
        <v>8.244808096108713</v>
      </c>
      <c r="AJ25">
        <f t="shared" si="6"/>
        <v>8.164908096108713</v>
      </c>
      <c r="AK25">
        <f t="shared" si="12"/>
        <v>4.061416648705455</v>
      </c>
      <c r="AU25">
        <f t="shared" si="13"/>
        <v>10.445113249150682</v>
      </c>
    </row>
    <row r="26" spans="1:47" ht="12.75">
      <c r="A26" s="72">
        <v>18</v>
      </c>
      <c r="B26" s="73">
        <v>4.1</v>
      </c>
      <c r="C26" s="74">
        <v>3.8</v>
      </c>
      <c r="D26" s="74">
        <v>5.9</v>
      </c>
      <c r="E26" s="74">
        <v>4</v>
      </c>
      <c r="F26" s="75">
        <f t="shared" si="0"/>
        <v>4.95</v>
      </c>
      <c r="G26" s="67">
        <f t="shared" si="7"/>
        <v>94.98311945061964</v>
      </c>
      <c r="H26" s="76">
        <f t="shared" si="1"/>
        <v>3.3699063213917237</v>
      </c>
      <c r="I26" s="77">
        <v>3.7</v>
      </c>
      <c r="J26" s="75"/>
      <c r="K26" s="77"/>
      <c r="L26" s="74">
        <v>5.7</v>
      </c>
      <c r="M26" s="74">
        <v>6</v>
      </c>
      <c r="N26" s="74">
        <v>6.4</v>
      </c>
      <c r="O26" s="75">
        <v>7</v>
      </c>
      <c r="P26" s="78" t="s">
        <v>137</v>
      </c>
      <c r="Q26" s="79">
        <v>21</v>
      </c>
      <c r="R26" s="76">
        <v>0</v>
      </c>
      <c r="S26" s="76">
        <v>20</v>
      </c>
      <c r="T26" s="76">
        <v>10</v>
      </c>
      <c r="U26" s="76"/>
      <c r="V26" s="80">
        <v>8</v>
      </c>
      <c r="W26" s="73">
        <v>1002.5</v>
      </c>
      <c r="X26" s="121">
        <f t="shared" si="2"/>
        <v>1013.044123999935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18</v>
      </c>
      <c r="AF26">
        <f t="shared" si="4"/>
        <v>0</v>
      </c>
      <c r="AH26">
        <f t="shared" si="11"/>
        <v>8.187084292086206</v>
      </c>
      <c r="AI26">
        <f t="shared" si="5"/>
        <v>8.016048052675158</v>
      </c>
      <c r="AJ26">
        <f t="shared" si="6"/>
        <v>7.776348052675158</v>
      </c>
      <c r="AK26">
        <f t="shared" si="12"/>
        <v>3.3699063213917237</v>
      </c>
      <c r="AU26">
        <f t="shared" si="13"/>
        <v>10.356955883622641</v>
      </c>
    </row>
    <row r="27" spans="1:47" ht="12.75">
      <c r="A27" s="63">
        <v>19</v>
      </c>
      <c r="B27" s="64">
        <v>3.7</v>
      </c>
      <c r="C27" s="65">
        <v>3.5</v>
      </c>
      <c r="D27" s="65">
        <v>5.1</v>
      </c>
      <c r="E27" s="65">
        <v>2.3</v>
      </c>
      <c r="F27" s="66">
        <f t="shared" si="0"/>
        <v>3.6999999999999997</v>
      </c>
      <c r="G27" s="67">
        <f t="shared" si="7"/>
        <v>96.5907631204283</v>
      </c>
      <c r="H27" s="67">
        <f t="shared" si="1"/>
        <v>3.2091145133283927</v>
      </c>
      <c r="I27" s="68">
        <v>1.9</v>
      </c>
      <c r="J27" s="66"/>
      <c r="K27" s="68"/>
      <c r="L27" s="65">
        <v>4.5</v>
      </c>
      <c r="M27" s="65">
        <v>5</v>
      </c>
      <c r="N27" s="65">
        <v>6.3</v>
      </c>
      <c r="O27" s="66">
        <v>7</v>
      </c>
      <c r="P27" s="69" t="s">
        <v>139</v>
      </c>
      <c r="Q27" s="70">
        <v>21</v>
      </c>
      <c r="R27" s="67">
        <v>0</v>
      </c>
      <c r="S27" s="67">
        <v>15</v>
      </c>
      <c r="T27" s="67">
        <v>4.1</v>
      </c>
      <c r="U27" s="67"/>
      <c r="V27" s="71">
        <v>8</v>
      </c>
      <c r="W27" s="64">
        <v>999.7</v>
      </c>
      <c r="X27" s="121">
        <f t="shared" si="2"/>
        <v>1010.2299592721944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7.959741395023205</v>
      </c>
      <c r="AI27">
        <f t="shared" si="5"/>
        <v>7.848174955865539</v>
      </c>
      <c r="AJ27">
        <f t="shared" si="6"/>
        <v>7.688374955865539</v>
      </c>
      <c r="AK27">
        <f t="shared" si="12"/>
        <v>3.2091145133283927</v>
      </c>
      <c r="AU27">
        <f t="shared" si="13"/>
        <v>10.4600680014664</v>
      </c>
    </row>
    <row r="28" spans="1:47" ht="12.75">
      <c r="A28" s="72">
        <v>20</v>
      </c>
      <c r="B28" s="73">
        <v>3.6</v>
      </c>
      <c r="C28" s="74">
        <v>3.5</v>
      </c>
      <c r="D28" s="74">
        <v>3.8</v>
      </c>
      <c r="E28" s="74">
        <v>3.6</v>
      </c>
      <c r="F28" s="75">
        <f t="shared" si="0"/>
        <v>3.7</v>
      </c>
      <c r="G28" s="67">
        <f t="shared" si="7"/>
        <v>98.28551290449003</v>
      </c>
      <c r="H28" s="76">
        <f t="shared" si="1"/>
        <v>3.3552179583626653</v>
      </c>
      <c r="I28" s="77">
        <v>3.9</v>
      </c>
      <c r="J28" s="75"/>
      <c r="K28" s="77"/>
      <c r="L28" s="74">
        <v>5.5</v>
      </c>
      <c r="M28" s="74">
        <v>6</v>
      </c>
      <c r="N28" s="74">
        <v>6.3</v>
      </c>
      <c r="O28" s="75">
        <v>7</v>
      </c>
      <c r="P28" s="78" t="s">
        <v>140</v>
      </c>
      <c r="Q28" s="79">
        <v>14</v>
      </c>
      <c r="R28" s="76">
        <v>0</v>
      </c>
      <c r="S28" s="76">
        <v>17</v>
      </c>
      <c r="T28" s="76">
        <v>2.3</v>
      </c>
      <c r="U28" s="76"/>
      <c r="V28" s="80">
        <v>8</v>
      </c>
      <c r="W28" s="73">
        <v>1006.4</v>
      </c>
      <c r="X28" s="121">
        <f t="shared" si="2"/>
        <v>1017.0043850727332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7.903784318055541</v>
      </c>
      <c r="AI28">
        <f t="shared" si="5"/>
        <v>7.848174955865539</v>
      </c>
      <c r="AJ28">
        <f t="shared" si="6"/>
        <v>7.768274955865539</v>
      </c>
      <c r="AK28">
        <f t="shared" si="12"/>
        <v>3.3552179583626653</v>
      </c>
      <c r="AU28">
        <f t="shared" si="13"/>
        <v>10.396909375863899</v>
      </c>
    </row>
    <row r="29" spans="1:47" ht="12.75">
      <c r="A29" s="63">
        <v>21</v>
      </c>
      <c r="B29" s="64">
        <v>2.8</v>
      </c>
      <c r="C29" s="65">
        <v>2.5</v>
      </c>
      <c r="D29" s="65">
        <v>4.6</v>
      </c>
      <c r="E29" s="65">
        <v>2.2</v>
      </c>
      <c r="F29" s="66">
        <f t="shared" si="0"/>
        <v>3.4</v>
      </c>
      <c r="G29" s="67">
        <f t="shared" si="7"/>
        <v>94.67911953477775</v>
      </c>
      <c r="H29" s="67">
        <f t="shared" si="1"/>
        <v>2.0328379012064572</v>
      </c>
      <c r="I29" s="68">
        <v>1.3</v>
      </c>
      <c r="J29" s="66"/>
      <c r="K29" s="68"/>
      <c r="L29" s="65">
        <v>4.5</v>
      </c>
      <c r="M29" s="65">
        <v>5</v>
      </c>
      <c r="N29" s="65">
        <v>6.1</v>
      </c>
      <c r="O29" s="66">
        <v>6.9</v>
      </c>
      <c r="P29" s="69" t="s">
        <v>145</v>
      </c>
      <c r="Q29" s="70">
        <v>14</v>
      </c>
      <c r="R29" s="67">
        <v>0</v>
      </c>
      <c r="S29" s="67">
        <v>16.5</v>
      </c>
      <c r="T29" s="67">
        <v>1.1</v>
      </c>
      <c r="U29" s="67"/>
      <c r="V29" s="71">
        <v>8</v>
      </c>
      <c r="W29" s="64">
        <v>1003</v>
      </c>
      <c r="X29" s="121">
        <f t="shared" si="2"/>
        <v>1013.5993873345301</v>
      </c>
      <c r="Y29" s="127">
        <v>0</v>
      </c>
      <c r="Z29" s="134">
        <v>1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7.468490409399528</v>
      </c>
      <c r="AI29">
        <f t="shared" si="5"/>
        <v>7.310800962158791</v>
      </c>
      <c r="AJ29">
        <f t="shared" si="6"/>
        <v>7.071100962158791</v>
      </c>
      <c r="AK29">
        <f t="shared" si="12"/>
        <v>2.0328379012064572</v>
      </c>
      <c r="AU29">
        <f t="shared" si="13"/>
        <v>10.387475597701052</v>
      </c>
    </row>
    <row r="30" spans="1:47" ht="12.75">
      <c r="A30" s="72">
        <v>22</v>
      </c>
      <c r="B30" s="73">
        <v>4.6</v>
      </c>
      <c r="C30" s="74">
        <v>4.5</v>
      </c>
      <c r="D30" s="74">
        <v>7.4</v>
      </c>
      <c r="E30" s="74">
        <v>2.7</v>
      </c>
      <c r="F30" s="75">
        <f>AVERAGE(D30:E30)</f>
        <v>5.050000000000001</v>
      </c>
      <c r="G30" s="67">
        <f t="shared" si="7"/>
        <v>98.35987338940451</v>
      </c>
      <c r="H30" s="76">
        <f t="shared" si="1"/>
        <v>4.363979701494693</v>
      </c>
      <c r="I30" s="77">
        <v>3.5</v>
      </c>
      <c r="J30" s="75"/>
      <c r="K30" s="77"/>
      <c r="L30" s="74">
        <v>5.1</v>
      </c>
      <c r="M30" s="74">
        <v>5.5</v>
      </c>
      <c r="N30" s="74">
        <v>6.1</v>
      </c>
      <c r="O30" s="75">
        <v>6.9</v>
      </c>
      <c r="P30" s="78" t="s">
        <v>143</v>
      </c>
      <c r="Q30" s="79">
        <v>10</v>
      </c>
      <c r="R30" s="76">
        <v>0</v>
      </c>
      <c r="S30" s="76">
        <v>17.8</v>
      </c>
      <c r="T30" s="76">
        <v>3.8</v>
      </c>
      <c r="U30" s="76"/>
      <c r="V30" s="80">
        <v>8</v>
      </c>
      <c r="W30" s="73">
        <v>1004.4</v>
      </c>
      <c r="X30" s="121">
        <f t="shared" si="2"/>
        <v>1014.9449741376561</v>
      </c>
      <c r="Y30" s="127">
        <v>0</v>
      </c>
      <c r="Z30" s="134">
        <v>0</v>
      </c>
      <c r="AA30" s="127">
        <v>0</v>
      </c>
      <c r="AB30">
        <f>IF((MAX($D$9:$D$39)=$D30),A30,0)</f>
        <v>0</v>
      </c>
      <c r="AC30">
        <f>IF((MIN($E$9:$E$39)=$E30),A30,0)</f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>6.107*EXP(17.38*(B30/(239+B30)))</f>
        <v>8.479312848497392</v>
      </c>
      <c r="AI30">
        <f>IF(W30&gt;=0,6.107*EXP(17.38*(C30/(239+C30))),6.107*EXP(22.44*(C30/(272.4+C30))))</f>
        <v>8.420141382073544</v>
      </c>
      <c r="AJ30">
        <f>IF(C30&gt;=0,AI30-(0.000799*1000*(B30-C30)),AI30-(0.00072*1000*(B30-C30)))</f>
        <v>8.340241382073543</v>
      </c>
      <c r="AK30">
        <f t="shared" si="12"/>
        <v>4.363979701494693</v>
      </c>
      <c r="AU30">
        <f t="shared" si="13"/>
        <v>10.471587162437023</v>
      </c>
    </row>
    <row r="31" spans="1:47" ht="12.75">
      <c r="A31" s="63">
        <v>23</v>
      </c>
      <c r="B31" s="64">
        <v>7.4</v>
      </c>
      <c r="C31" s="65">
        <v>7.3</v>
      </c>
      <c r="D31" s="65">
        <v>11.5</v>
      </c>
      <c r="E31" s="65">
        <v>4.3</v>
      </c>
      <c r="F31" s="66">
        <f>AVERAGE(D31:E31)</f>
        <v>7.9</v>
      </c>
      <c r="G31" s="67">
        <f t="shared" si="7"/>
        <v>98.54158024792386</v>
      </c>
      <c r="H31" s="67">
        <f t="shared" si="1"/>
        <v>7.18545209091717</v>
      </c>
      <c r="I31" s="68">
        <v>-0.7</v>
      </c>
      <c r="J31" s="66"/>
      <c r="K31" s="68"/>
      <c r="L31" s="65">
        <v>6.6</v>
      </c>
      <c r="M31" s="65">
        <v>7</v>
      </c>
      <c r="N31" s="65">
        <v>6.4</v>
      </c>
      <c r="O31" s="66">
        <v>6.9</v>
      </c>
      <c r="P31" s="69" t="s">
        <v>106</v>
      </c>
      <c r="Q31" s="70">
        <v>21</v>
      </c>
      <c r="R31" s="67">
        <v>0</v>
      </c>
      <c r="S31" s="67">
        <v>17.8</v>
      </c>
      <c r="T31" s="67">
        <v>1.3</v>
      </c>
      <c r="U31" s="67"/>
      <c r="V31" s="71">
        <v>8</v>
      </c>
      <c r="W31" s="64">
        <v>1003.4</v>
      </c>
      <c r="X31" s="121">
        <f t="shared" si="2"/>
        <v>1013.8286998208056</v>
      </c>
      <c r="Y31" s="127">
        <v>0</v>
      </c>
      <c r="Z31" s="134">
        <v>0</v>
      </c>
      <c r="AA31" s="127">
        <v>0</v>
      </c>
      <c r="AB31">
        <f>IF((MAX($D$9:$D$39)=$D31),A31,0)</f>
        <v>0</v>
      </c>
      <c r="AC31">
        <f>IF((MIN($E$9:$E$39)=$E31),A31,0)</f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>6.107*EXP(17.38*(B31/(239+B31)))</f>
        <v>10.29234011027384</v>
      </c>
      <c r="AI31">
        <f>IF(W31&gt;=0,6.107*EXP(17.38*(C31/(239+C31))),6.107*EXP(22.44*(C31/(272.4+C31))))</f>
        <v>10.22213458915475</v>
      </c>
      <c r="AJ31">
        <f>IF(C31&gt;=0,AI31-(0.000799*1000*(B31-C31)),AI31-(0.00072*1000*(B31-C31)))</f>
        <v>10.14223458915475</v>
      </c>
      <c r="AK31">
        <f t="shared" si="12"/>
        <v>7.18545209091717</v>
      </c>
      <c r="AU31">
        <f t="shared" si="13"/>
        <v>10.347283526852133</v>
      </c>
    </row>
    <row r="32" spans="1:47" ht="12.75">
      <c r="A32" s="72">
        <v>24</v>
      </c>
      <c r="B32" s="73">
        <v>8.8</v>
      </c>
      <c r="C32" s="74">
        <v>8.2</v>
      </c>
      <c r="D32" s="74">
        <v>14.1</v>
      </c>
      <c r="E32" s="74">
        <v>7.5</v>
      </c>
      <c r="F32" s="75">
        <f>AVERAGE(D32:E32)</f>
        <v>10.8</v>
      </c>
      <c r="G32" s="67">
        <f t="shared" si="7"/>
        <v>91.77834154561523</v>
      </c>
      <c r="H32" s="76">
        <f t="shared" si="1"/>
        <v>7.538189971987188</v>
      </c>
      <c r="I32" s="77">
        <v>4.7</v>
      </c>
      <c r="J32" s="75"/>
      <c r="K32" s="77"/>
      <c r="L32" s="74">
        <v>7.3</v>
      </c>
      <c r="M32" s="74">
        <v>7.5</v>
      </c>
      <c r="N32" s="74">
        <v>6.9</v>
      </c>
      <c r="O32" s="75">
        <v>7</v>
      </c>
      <c r="P32" s="78" t="s">
        <v>106</v>
      </c>
      <c r="Q32" s="79">
        <v>20</v>
      </c>
      <c r="R32" s="76">
        <v>5.8</v>
      </c>
      <c r="S32" s="76">
        <v>47.4</v>
      </c>
      <c r="T32" s="76">
        <v>0</v>
      </c>
      <c r="U32" s="76"/>
      <c r="V32" s="80">
        <v>7</v>
      </c>
      <c r="W32" s="73">
        <v>1010.2</v>
      </c>
      <c r="X32" s="121">
        <f t="shared" si="2"/>
        <v>1020.6469264439697</v>
      </c>
      <c r="Y32" s="127">
        <v>0</v>
      </c>
      <c r="Z32" s="134">
        <v>0</v>
      </c>
      <c r="AA32" s="127">
        <v>0</v>
      </c>
      <c r="AB32">
        <f>IF((MAX($D$9:$D$39)=$D32),A32,0)</f>
        <v>24</v>
      </c>
      <c r="AC32">
        <f>IF((MIN($E$9:$E$39)=$E32),A32,0)</f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>6.107*EXP(17.38*(B32/(239+B32)))</f>
        <v>11.32081514642534</v>
      </c>
      <c r="AI32">
        <f>IF(W32&gt;=0,6.107*EXP(17.38*(C32/(239+C32))),6.107*EXP(22.44*(C32/(272.4+C32))))</f>
        <v>10.869456390833992</v>
      </c>
      <c r="AJ32">
        <f>IF(C32&gt;=0,AI32-(0.000799*1000*(B32-C32)),AI32-(0.00072*1000*(B32-C32)))</f>
        <v>10.39005639083399</v>
      </c>
      <c r="AK32">
        <f t="shared" si="12"/>
        <v>7.538189971987188</v>
      </c>
      <c r="AU32">
        <f t="shared" si="13"/>
        <v>10.487048229689503</v>
      </c>
    </row>
    <row r="33" spans="1:47" ht="12.75">
      <c r="A33" s="63">
        <v>25</v>
      </c>
      <c r="B33" s="64">
        <v>9.6</v>
      </c>
      <c r="C33" s="65">
        <v>9.4</v>
      </c>
      <c r="D33" s="65">
        <v>12.5</v>
      </c>
      <c r="E33" s="65">
        <v>7.1</v>
      </c>
      <c r="F33" s="66">
        <f t="shared" si="0"/>
        <v>9.8</v>
      </c>
      <c r="G33" s="67">
        <f t="shared" si="7"/>
        <v>97.32625830752146</v>
      </c>
      <c r="H33" s="67">
        <f t="shared" si="1"/>
        <v>9.197429567317291</v>
      </c>
      <c r="I33" s="68">
        <v>2.5</v>
      </c>
      <c r="J33" s="66"/>
      <c r="K33" s="68"/>
      <c r="L33" s="65">
        <v>7.5</v>
      </c>
      <c r="M33" s="65">
        <v>8</v>
      </c>
      <c r="N33" s="65">
        <v>7</v>
      </c>
      <c r="O33" s="66">
        <v>7</v>
      </c>
      <c r="P33" s="69" t="s">
        <v>148</v>
      </c>
      <c r="Q33" s="70">
        <v>24</v>
      </c>
      <c r="R33" s="67">
        <v>0.3</v>
      </c>
      <c r="S33" s="67">
        <v>21</v>
      </c>
      <c r="T33" s="67">
        <v>9.9</v>
      </c>
      <c r="U33" s="67"/>
      <c r="V33" s="71">
        <v>8</v>
      </c>
      <c r="W33" s="64">
        <v>1011</v>
      </c>
      <c r="X33" s="121">
        <f t="shared" si="2"/>
        <v>1021.4254402190563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11.948265205112428</v>
      </c>
      <c r="AI33">
        <f t="shared" si="5"/>
        <v>11.78859945679543</v>
      </c>
      <c r="AJ33">
        <f t="shared" si="6"/>
        <v>11.62879945679543</v>
      </c>
      <c r="AK33">
        <f t="shared" si="12"/>
        <v>9.197429567317291</v>
      </c>
      <c r="AU33">
        <f t="shared" si="13"/>
        <v>10.449242002452621</v>
      </c>
    </row>
    <row r="34" spans="1:47" ht="12.75">
      <c r="A34" s="72">
        <v>26</v>
      </c>
      <c r="B34" s="73">
        <v>6.8</v>
      </c>
      <c r="C34" s="74">
        <v>6.6</v>
      </c>
      <c r="D34" s="74">
        <v>9</v>
      </c>
      <c r="E34" s="74">
        <v>6.5</v>
      </c>
      <c r="F34" s="75">
        <f t="shared" si="0"/>
        <v>7.75</v>
      </c>
      <c r="G34" s="67">
        <f t="shared" si="7"/>
        <v>97.01543584517442</v>
      </c>
      <c r="H34" s="76">
        <f t="shared" si="1"/>
        <v>6.360071618372471</v>
      </c>
      <c r="I34" s="77">
        <v>5.7</v>
      </c>
      <c r="J34" s="75"/>
      <c r="K34" s="77"/>
      <c r="L34" s="74">
        <v>7.9</v>
      </c>
      <c r="M34" s="74">
        <v>8</v>
      </c>
      <c r="N34" s="74">
        <v>7.7</v>
      </c>
      <c r="O34" s="75">
        <v>7.5</v>
      </c>
      <c r="P34" s="78" t="s">
        <v>124</v>
      </c>
      <c r="Q34" s="79">
        <v>28</v>
      </c>
      <c r="R34" s="76">
        <v>2.3</v>
      </c>
      <c r="S34" s="76">
        <v>39.2</v>
      </c>
      <c r="T34" s="76">
        <v>0.6</v>
      </c>
      <c r="U34" s="76"/>
      <c r="V34" s="80">
        <v>8</v>
      </c>
      <c r="W34" s="73">
        <v>1002.5</v>
      </c>
      <c r="X34" s="121">
        <f t="shared" si="2"/>
        <v>1012.9418126078041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9.877400046010854</v>
      </c>
      <c r="AI34">
        <f t="shared" si="5"/>
        <v>9.742402704808889</v>
      </c>
      <c r="AJ34">
        <f t="shared" si="6"/>
        <v>9.582602704808888</v>
      </c>
      <c r="AK34">
        <f t="shared" si="12"/>
        <v>6.360071618372471</v>
      </c>
      <c r="AU34">
        <f t="shared" si="13"/>
        <v>10.544123999934952</v>
      </c>
    </row>
    <row r="35" spans="1:47" ht="12.75">
      <c r="A35" s="63">
        <v>27</v>
      </c>
      <c r="B35" s="64">
        <v>4.1</v>
      </c>
      <c r="C35" s="65">
        <v>3.4</v>
      </c>
      <c r="D35" s="65">
        <v>7.2</v>
      </c>
      <c r="E35" s="65">
        <v>3</v>
      </c>
      <c r="F35" s="66">
        <f t="shared" si="0"/>
        <v>5.1</v>
      </c>
      <c r="G35" s="67">
        <f t="shared" si="7"/>
        <v>88.35393887076243</v>
      </c>
      <c r="H35" s="67">
        <f t="shared" si="1"/>
        <v>2.3510587977969295</v>
      </c>
      <c r="I35" s="68">
        <v>-1.1</v>
      </c>
      <c r="J35" s="66"/>
      <c r="K35" s="68"/>
      <c r="L35" s="65">
        <v>5.6</v>
      </c>
      <c r="M35" s="65">
        <v>6</v>
      </c>
      <c r="N35" s="65">
        <v>7.5</v>
      </c>
      <c r="O35" s="66">
        <v>7.7</v>
      </c>
      <c r="P35" s="69" t="s">
        <v>119</v>
      </c>
      <c r="Q35" s="70">
        <v>24</v>
      </c>
      <c r="R35" s="67">
        <v>0.6</v>
      </c>
      <c r="S35" s="67">
        <v>35</v>
      </c>
      <c r="T35" s="67">
        <v>1.4</v>
      </c>
      <c r="U35" s="67"/>
      <c r="V35" s="71">
        <v>8</v>
      </c>
      <c r="W35" s="64">
        <v>1009.6</v>
      </c>
      <c r="X35" s="121">
        <f t="shared" si="2"/>
        <v>1020.2188005888622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8.187084292086206</v>
      </c>
      <c r="AI35">
        <f t="shared" si="5"/>
        <v>7.792911450727639</v>
      </c>
      <c r="AJ35">
        <f t="shared" si="6"/>
        <v>7.23361145072764</v>
      </c>
      <c r="AK35">
        <f t="shared" si="12"/>
        <v>2.3510587977969295</v>
      </c>
      <c r="AU35">
        <f t="shared" si="13"/>
        <v>10.529959272194356</v>
      </c>
    </row>
    <row r="36" spans="1:47" ht="12.75">
      <c r="A36" s="72">
        <v>28</v>
      </c>
      <c r="B36" s="73">
        <v>4.2</v>
      </c>
      <c r="C36" s="74">
        <v>3.4</v>
      </c>
      <c r="D36" s="74">
        <v>4.6</v>
      </c>
      <c r="E36" s="74">
        <v>3.7</v>
      </c>
      <c r="F36" s="75">
        <f t="shared" si="0"/>
        <v>4.15</v>
      </c>
      <c r="G36" s="67">
        <f t="shared" si="7"/>
        <v>86.76625783569133</v>
      </c>
      <c r="H36" s="76">
        <f t="shared" si="1"/>
        <v>2.195400668654193</v>
      </c>
      <c r="I36" s="77">
        <v>-0.4</v>
      </c>
      <c r="J36" s="75"/>
      <c r="K36" s="77"/>
      <c r="L36" s="74">
        <v>5.6</v>
      </c>
      <c r="M36" s="74">
        <v>6</v>
      </c>
      <c r="N36" s="74">
        <v>7.2</v>
      </c>
      <c r="O36" s="75">
        <v>7.7</v>
      </c>
      <c r="P36" s="78" t="s">
        <v>152</v>
      </c>
      <c r="Q36" s="79">
        <v>21</v>
      </c>
      <c r="R36" s="76">
        <v>0</v>
      </c>
      <c r="S36" s="76">
        <v>20</v>
      </c>
      <c r="T36" s="76">
        <v>0</v>
      </c>
      <c r="U36" s="76"/>
      <c r="V36" s="80">
        <v>7</v>
      </c>
      <c r="W36" s="73">
        <v>1020.7</v>
      </c>
      <c r="X36" s="121">
        <f t="shared" si="2"/>
        <v>1031.431654002201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8.244808096108713</v>
      </c>
      <c r="AI36">
        <f t="shared" si="5"/>
        <v>7.792911450727639</v>
      </c>
      <c r="AJ36">
        <f t="shared" si="6"/>
        <v>7.15371145072764</v>
      </c>
      <c r="AK36">
        <f t="shared" si="12"/>
        <v>2.195400668654193</v>
      </c>
      <c r="AU36">
        <f t="shared" si="13"/>
        <v>10.604385072733184</v>
      </c>
    </row>
    <row r="37" spans="1:47" ht="12.75">
      <c r="A37" s="63"/>
      <c r="B37" s="64"/>
      <c r="C37" s="65"/>
      <c r="D37" s="65"/>
      <c r="E37" s="65"/>
      <c r="F37" s="66"/>
      <c r="G37" s="67"/>
      <c r="H37" s="67"/>
      <c r="I37" s="68"/>
      <c r="J37" s="66"/>
      <c r="K37" s="68"/>
      <c r="L37" s="65"/>
      <c r="M37" s="65"/>
      <c r="N37" s="65"/>
      <c r="O37" s="66"/>
      <c r="P37" s="69"/>
      <c r="Q37" s="70"/>
      <c r="R37" s="67"/>
      <c r="S37" s="67"/>
      <c r="T37" s="67"/>
      <c r="U37" s="67"/>
      <c r="V37" s="71"/>
      <c r="W37" s="64"/>
      <c r="X37" s="121"/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6.107</v>
      </c>
      <c r="AI37">
        <f t="shared" si="5"/>
        <v>6.107</v>
      </c>
      <c r="AJ37">
        <f t="shared" si="6"/>
        <v>6.107</v>
      </c>
      <c r="AK37">
        <f t="shared" si="12"/>
        <v>0</v>
      </c>
      <c r="AU37">
        <f t="shared" si="13"/>
        <v>10.59938733453014</v>
      </c>
    </row>
    <row r="38" spans="1:47" ht="12.75">
      <c r="A38" s="72"/>
      <c r="B38" s="73"/>
      <c r="C38" s="74"/>
      <c r="D38" s="74"/>
      <c r="E38" s="74"/>
      <c r="F38" s="75"/>
      <c r="G38" s="67"/>
      <c r="H38" s="76"/>
      <c r="I38" s="77"/>
      <c r="J38" s="75"/>
      <c r="K38" s="77"/>
      <c r="L38" s="74"/>
      <c r="M38" s="74"/>
      <c r="N38" s="74"/>
      <c r="O38" s="75"/>
      <c r="P38" s="78"/>
      <c r="Q38" s="79"/>
      <c r="R38" s="76"/>
      <c r="S38" s="76"/>
      <c r="T38" s="76"/>
      <c r="U38" s="76"/>
      <c r="V38" s="80"/>
      <c r="W38" s="73"/>
      <c r="X38" s="121"/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6.107</v>
      </c>
      <c r="AI38">
        <f t="shared" si="5"/>
        <v>6.107</v>
      </c>
      <c r="AJ38">
        <f t="shared" si="6"/>
        <v>6.107</v>
      </c>
      <c r="AK38">
        <f t="shared" si="12"/>
        <v>0</v>
      </c>
      <c r="AU38">
        <f>W30*(10^(85/(18429.1+(67.53*B30)+(0.003*31)))-1)</f>
        <v>10.544974137656158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>W31*(10^(85/(18429.1+(67.53*B31)+(0.003*31)))-1)</f>
        <v>10.428699820805573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>W32*(10^(85/(18429.1+(67.53*B32)+(0.003*31)))-1)</f>
        <v>10.44692644396964</v>
      </c>
    </row>
    <row r="41" spans="1:47" ht="13.5" thickBot="1">
      <c r="A41" s="113" t="s">
        <v>19</v>
      </c>
      <c r="B41" s="114">
        <f>SUM(B9:B39)</f>
        <v>161.49999999999997</v>
      </c>
      <c r="C41" s="115">
        <f aca="true" t="shared" si="14" ref="C41:V41">SUM(C9:C39)</f>
        <v>149.2</v>
      </c>
      <c r="D41" s="115">
        <f t="shared" si="14"/>
        <v>254.9</v>
      </c>
      <c r="E41" s="115">
        <f t="shared" si="14"/>
        <v>104.7</v>
      </c>
      <c r="F41" s="116">
        <f t="shared" si="14"/>
        <v>179.80000000000004</v>
      </c>
      <c r="G41" s="117">
        <f t="shared" si="14"/>
        <v>2624.814515641786</v>
      </c>
      <c r="H41" s="117">
        <f>SUM(H9:H39)</f>
        <v>134.32850673305384</v>
      </c>
      <c r="I41" s="118">
        <f t="shared" si="14"/>
        <v>30.2</v>
      </c>
      <c r="J41" s="116">
        <f t="shared" si="14"/>
        <v>0</v>
      </c>
      <c r="K41" s="118">
        <f t="shared" si="14"/>
        <v>0</v>
      </c>
      <c r="L41" s="115">
        <f t="shared" si="14"/>
        <v>160.39999999999998</v>
      </c>
      <c r="M41" s="115">
        <f t="shared" si="14"/>
        <v>163.7</v>
      </c>
      <c r="N41" s="115">
        <f t="shared" si="14"/>
        <v>179.29999999999998</v>
      </c>
      <c r="O41" s="116">
        <f>SUM(O9:O39)</f>
        <v>191.69999999999996</v>
      </c>
      <c r="P41" s="114"/>
      <c r="Q41" s="119">
        <f t="shared" si="14"/>
        <v>662</v>
      </c>
      <c r="R41" s="117">
        <f t="shared" si="14"/>
        <v>39.099999999999994</v>
      </c>
      <c r="S41" s="117"/>
      <c r="T41" s="117">
        <f>SUM(T9:T39)</f>
        <v>46.199999999999996</v>
      </c>
      <c r="U41" s="139"/>
      <c r="V41" s="119">
        <f t="shared" si="14"/>
        <v>185</v>
      </c>
      <c r="W41" s="117">
        <f>SUM(W9:W39)</f>
        <v>28075.800000000007</v>
      </c>
      <c r="X41" s="123">
        <f>SUM(X9:X39)</f>
        <v>28369.35681673611</v>
      </c>
      <c r="Y41" s="117">
        <f>SUM(Y9:Y39)</f>
        <v>0</v>
      </c>
      <c r="Z41" s="123">
        <f>SUM(Z9:Z39)</f>
        <v>1</v>
      </c>
      <c r="AA41" s="138">
        <f>SUM(AA9:AA39)</f>
        <v>0</v>
      </c>
      <c r="AB41">
        <f>MAX(AB9:AB39)</f>
        <v>24</v>
      </c>
      <c r="AC41">
        <f>MAX(AC9:AC39)</f>
        <v>1</v>
      </c>
      <c r="AD41">
        <f>MAX(AD9:AD39)</f>
        <v>1</v>
      </c>
      <c r="AE41">
        <f>MAX(AE9:AE39)</f>
        <v>18</v>
      </c>
      <c r="AF41">
        <f>MAX(AF9:AF39)</f>
        <v>8</v>
      </c>
      <c r="AU41">
        <f t="shared" si="13"/>
        <v>10.425440219056336</v>
      </c>
    </row>
    <row r="42" spans="1:47" ht="12.75">
      <c r="A42" s="72" t="s">
        <v>20</v>
      </c>
      <c r="B42" s="73">
        <f>AVERAGE(B9:B39)</f>
        <v>5.7678571428571415</v>
      </c>
      <c r="C42" s="74">
        <f aca="true" t="shared" si="15" ref="C42:V42">AVERAGE(C9:C39)</f>
        <v>5.328571428571428</v>
      </c>
      <c r="D42" s="74">
        <f t="shared" si="15"/>
        <v>9.10357142857143</v>
      </c>
      <c r="E42" s="74">
        <f t="shared" si="15"/>
        <v>3.7392857142857143</v>
      </c>
      <c r="F42" s="75">
        <f t="shared" si="15"/>
        <v>6.421428571428573</v>
      </c>
      <c r="G42" s="76">
        <f t="shared" si="15"/>
        <v>93.74337555863521</v>
      </c>
      <c r="H42" s="76">
        <f>AVERAGE(H9:H39)</f>
        <v>4.797446669037638</v>
      </c>
      <c r="I42" s="77">
        <f t="shared" si="15"/>
        <v>1.0785714285714285</v>
      </c>
      <c r="J42" s="75" t="e">
        <f t="shared" si="15"/>
        <v>#DIV/0!</v>
      </c>
      <c r="K42" s="77" t="e">
        <f t="shared" si="15"/>
        <v>#DIV/0!</v>
      </c>
      <c r="L42" s="74">
        <f t="shared" si="15"/>
        <v>5.728571428571428</v>
      </c>
      <c r="M42" s="74">
        <f t="shared" si="15"/>
        <v>5.846428571428571</v>
      </c>
      <c r="N42" s="74">
        <f t="shared" si="15"/>
        <v>6.403571428571428</v>
      </c>
      <c r="O42" s="75">
        <f>AVERAGE(O9:O39)</f>
        <v>6.84642857142857</v>
      </c>
      <c r="P42" s="73"/>
      <c r="Q42" s="75">
        <f t="shared" si="15"/>
        <v>23.642857142857142</v>
      </c>
      <c r="R42" s="76">
        <f t="shared" si="15"/>
        <v>1.3964285714285711</v>
      </c>
      <c r="S42" s="76"/>
      <c r="T42" s="76">
        <f>AVERAGE(T9:T39)</f>
        <v>1.711111111111111</v>
      </c>
      <c r="U42" s="76"/>
      <c r="V42" s="76">
        <f t="shared" si="15"/>
        <v>6.607142857142857</v>
      </c>
      <c r="W42" s="76">
        <f>AVERAGE(W9:W39)</f>
        <v>1002.7071428571431</v>
      </c>
      <c r="X42" s="124">
        <f>AVERAGE(X9:X39)</f>
        <v>1013.1913148834326</v>
      </c>
      <c r="Y42" s="127"/>
      <c r="Z42" s="134"/>
      <c r="AA42" s="130"/>
      <c r="AU42">
        <f t="shared" si="13"/>
        <v>10.441812607804028</v>
      </c>
    </row>
    <row r="43" spans="1:47" ht="12.75">
      <c r="A43" s="72" t="s">
        <v>21</v>
      </c>
      <c r="B43" s="73">
        <f>MAX(B9:B39)</f>
        <v>12.2</v>
      </c>
      <c r="C43" s="74">
        <f aca="true" t="shared" si="16" ref="C43:V43">MAX(C9:C39)</f>
        <v>10.4</v>
      </c>
      <c r="D43" s="74">
        <f t="shared" si="16"/>
        <v>14.1</v>
      </c>
      <c r="E43" s="74">
        <f t="shared" si="16"/>
        <v>11</v>
      </c>
      <c r="F43" s="75">
        <f t="shared" si="16"/>
        <v>12</v>
      </c>
      <c r="G43" s="76">
        <f t="shared" si="16"/>
        <v>100</v>
      </c>
      <c r="H43" s="76">
        <f>MAX(H9:H39)</f>
        <v>9.197429567317291</v>
      </c>
      <c r="I43" s="77">
        <f t="shared" si="16"/>
        <v>9.7</v>
      </c>
      <c r="J43" s="75">
        <f t="shared" si="16"/>
        <v>0</v>
      </c>
      <c r="K43" s="77">
        <f t="shared" si="16"/>
        <v>0</v>
      </c>
      <c r="L43" s="74">
        <f t="shared" si="16"/>
        <v>8.8</v>
      </c>
      <c r="M43" s="74">
        <f t="shared" si="16"/>
        <v>8</v>
      </c>
      <c r="N43" s="74">
        <f t="shared" si="16"/>
        <v>7.7</v>
      </c>
      <c r="O43" s="75">
        <f>MAX(O9:O39)</f>
        <v>7.7</v>
      </c>
      <c r="P43" s="73"/>
      <c r="Q43" s="70">
        <f t="shared" si="16"/>
        <v>49</v>
      </c>
      <c r="R43" s="76">
        <f t="shared" si="16"/>
        <v>6.5</v>
      </c>
      <c r="S43" s="76"/>
      <c r="T43" s="76">
        <f>MAX(T9:T39)</f>
        <v>10</v>
      </c>
      <c r="U43" s="140"/>
      <c r="V43" s="70">
        <f t="shared" si="16"/>
        <v>8</v>
      </c>
      <c r="W43" s="76">
        <f>MAX(W9:W39)</f>
        <v>1020.7</v>
      </c>
      <c r="X43" s="124">
        <f>MAX(X9:X39)</f>
        <v>1031.431654002201</v>
      </c>
      <c r="Y43" s="127"/>
      <c r="Z43" s="134"/>
      <c r="AA43" s="127"/>
      <c r="AU43">
        <f t="shared" si="13"/>
        <v>10.618800588862173</v>
      </c>
    </row>
    <row r="44" spans="1:47" ht="13.5" thickBot="1">
      <c r="A44" s="81" t="s">
        <v>22</v>
      </c>
      <c r="B44" s="82">
        <f>MIN(B9:B39)</f>
        <v>0.1</v>
      </c>
      <c r="C44" s="83">
        <f aca="true" t="shared" si="17" ref="C44:V44">MIN(C9:C39)</f>
        <v>0</v>
      </c>
      <c r="D44" s="83">
        <f t="shared" si="17"/>
        <v>3.8</v>
      </c>
      <c r="E44" s="83">
        <f t="shared" si="17"/>
        <v>-4.5</v>
      </c>
      <c r="F44" s="84">
        <f t="shared" si="17"/>
        <v>2.8</v>
      </c>
      <c r="G44" s="85">
        <f t="shared" si="17"/>
        <v>78.62488697594068</v>
      </c>
      <c r="H44" s="85">
        <f>MIN(H9:H39)</f>
        <v>-0.18096502584797455</v>
      </c>
      <c r="I44" s="86">
        <f t="shared" si="17"/>
        <v>-7.5</v>
      </c>
      <c r="J44" s="84">
        <f t="shared" si="17"/>
        <v>0</v>
      </c>
      <c r="K44" s="86">
        <f t="shared" si="17"/>
        <v>0</v>
      </c>
      <c r="L44" s="83">
        <f t="shared" si="17"/>
        <v>1.2</v>
      </c>
      <c r="M44" s="83">
        <f t="shared" si="17"/>
        <v>2.2</v>
      </c>
      <c r="N44" s="83">
        <f t="shared" si="17"/>
        <v>4.1</v>
      </c>
      <c r="O44" s="84">
        <f>MIN(O9:O39)</f>
        <v>5.7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982</v>
      </c>
      <c r="X44" s="125">
        <f>MIN(X9:X39)</f>
        <v>992.3472835268522</v>
      </c>
      <c r="Y44" s="128"/>
      <c r="Z44" s="136"/>
      <c r="AA44" s="128"/>
      <c r="AU44">
        <f t="shared" si="13"/>
        <v>10.731654002200974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0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0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19</v>
      </c>
      <c r="C61">
        <f>DCOUNTA(T8:T38,1,C59:C60)</f>
        <v>13</v>
      </c>
      <c r="D61">
        <f>DCOUNTA(T8:T38,1,D59:D60)</f>
        <v>3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18</v>
      </c>
      <c r="C64">
        <f>(C61-F61)</f>
        <v>12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E31" sqref="E31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9.10357142857143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3.7392857142857143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6.421428571428573</v>
      </c>
      <c r="D9" s="5">
        <v>2.2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14.1</v>
      </c>
      <c r="C10" s="5" t="s">
        <v>32</v>
      </c>
      <c r="D10" s="5">
        <f>Data1!$AB$41</f>
        <v>24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-4.5</v>
      </c>
      <c r="C11" s="5" t="s">
        <v>32</v>
      </c>
      <c r="D11" s="24">
        <f>Data1!$AC$41</f>
        <v>1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-7.5</v>
      </c>
      <c r="C12" s="5" t="s">
        <v>32</v>
      </c>
      <c r="D12" s="24">
        <f>Data1!$AD$41</f>
        <v>1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6.84642857142857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117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46.199999999999996</v>
      </c>
      <c r="D17" s="5">
        <v>89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18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12</v>
      </c>
      <c r="D19" s="5"/>
      <c r="E19" s="3"/>
      <c r="F19" s="40">
        <v>11</v>
      </c>
      <c r="G19" s="93" t="s">
        <v>125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10</v>
      </c>
      <c r="D21" s="5"/>
      <c r="E21" s="3"/>
      <c r="F21" s="40">
        <v>13</v>
      </c>
      <c r="G21" s="93" t="s">
        <v>129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18</v>
      </c>
      <c r="D22" s="5"/>
      <c r="E22" s="3"/>
      <c r="F22" s="40">
        <v>14</v>
      </c>
      <c r="G22" s="93" t="s">
        <v>130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6.5</v>
      </c>
      <c r="D25" s="5" t="s">
        <v>46</v>
      </c>
      <c r="E25" s="5">
        <f>Data1!$AF$41</f>
        <v>8</v>
      </c>
      <c r="F25" s="40">
        <v>17</v>
      </c>
      <c r="G25" s="93" t="s">
        <v>136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39.099999999999994</v>
      </c>
      <c r="D26" s="5" t="s">
        <v>46</v>
      </c>
      <c r="E26" s="3"/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141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147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49</v>
      </c>
      <c r="D30" s="5"/>
      <c r="E30" s="5"/>
      <c r="F30" s="40">
        <v>22</v>
      </c>
      <c r="G30" s="93" t="s">
        <v>146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4</v>
      </c>
      <c r="D31" s="22"/>
      <c r="E31" s="5"/>
      <c r="F31" s="40">
        <v>23</v>
      </c>
      <c r="G31" s="93" t="s">
        <v>144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149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1</v>
      </c>
      <c r="D34" s="3"/>
      <c r="E34" s="3"/>
      <c r="F34" s="40">
        <v>26</v>
      </c>
      <c r="G34" s="93" t="s">
        <v>151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153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/>
      <c r="G37" s="93"/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/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2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12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155</v>
      </c>
      <c r="B43" s="3" t="s">
        <v>156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2011-03-03T19:10:18Z</dcterms:modified>
  <cp:category/>
  <cp:version/>
  <cp:contentType/>
  <cp:contentStatus/>
</cp:coreProperties>
</file>