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<sst xmlns="http://schemas.openxmlformats.org/spreadsheetml/2006/main" count="188" uniqueCount="167">
  <si>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</si>
  <si>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</si>
  <si>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</si>
  <si>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</si>
  <si>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</si>
  <si>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</si>
  <si>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</si>
  <si>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</si>
  <si>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</si>
  <si>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</si>
  <si>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</si>
  <si>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</si>
  <si>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</si>
  <si>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</si>
  <si>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</si>
  <si>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</si>
  <si>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</si>
  <si>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</si>
  <si>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</si>
  <si>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</si>
  <si>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</si>
  <si>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</si>
  <si>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</si>
  <si>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</si>
  <si>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</si>
  <si>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</si>
  <si>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</si>
  <si>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</si>
  <si>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</si>
  <si>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</si>
  <si>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</si>
  <si>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</si>
  <si>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</si>
  <si>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</si>
  <si>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</si>
  <si>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</si>
  <si>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</si>
  <si>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</si>
  <si>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</si>
  <si>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</si>
  <si>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</si>
  <si>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</si>
  <si>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</si>
  <si>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</si>
  <si>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</si>
  <si>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</si>
  <si>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</si>
  <si>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</si>
  <si>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</si>
  <si>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</si>
  <si>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</si>
  <si>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</si>
  <si>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</si>
  <si>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</si>
  <si>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</si>
  <si>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</si>
  <si>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</si>
  <si>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</si>
  <si>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</si>
  <si>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</si>
  <si>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</si>
  <si>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</si>
  <si>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</si>
  <si>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</si>
  <si>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</si>
  <si>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</si>
  <si>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</si>
  <si>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</si>
  <si>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</si>
  <si>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</si>
  <si>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</si>
  <si>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</si>
  <si>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</si>
  <si>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</si>
  <si>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</si>
  <si>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</si>
  <si>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</si>
  <si>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</si>
  <si>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</si>
  <si>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</si>
  <si>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</si>
  <si>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</si>
  <si>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</si>
  <si>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</si>
  <si>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</si>
  <si>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</si>
  <si>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</si>
  <si>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</si>
  <si>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</si>
  <si>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</si>
  <si>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</si>
  <si>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</si>
  <si>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</si>
  <si>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</si>
  <si>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</si>
  <si>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</si>
  <si>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</si>
  <si>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</si>
  <si>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</si>
  <si>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</si>
  <si>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</si>
  <si>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</si>
  <si>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year</t>
  </si>
  <si>
    <t>Brightness</t>
  </si>
  <si>
    <t>Max Lux</t>
  </si>
  <si>
    <t>Calm</t>
  </si>
  <si>
    <t>WSW3</t>
  </si>
  <si>
    <t>SW2</t>
  </si>
  <si>
    <t>NNE4</t>
  </si>
  <si>
    <t>N2</t>
  </si>
  <si>
    <t>WSW1</t>
  </si>
  <si>
    <t>N</t>
  </si>
  <si>
    <t>W2</t>
  </si>
  <si>
    <t>S3</t>
  </si>
  <si>
    <t>Cloudy with some brief bright or sunny intervals. Feeling a little milder than of late.</t>
  </si>
  <si>
    <t xml:space="preserve">Cloudy and rather chilly, with one or two light showers at times. </t>
  </si>
  <si>
    <t>A frosty start and sunshine early on, then clouding over. Feelign rather cold again.</t>
  </si>
  <si>
    <t>A mixture of cloud and some bright intervals. Mostly cloudy, but clearer by evening.</t>
  </si>
  <si>
    <t>Cold and windy with a spell of sleety snow, turning to rain later. Windy too.</t>
  </si>
  <si>
    <t>Breexy but some bright or sunny intervals alternating with cloudy spells. Rain overnight.</t>
  </si>
  <si>
    <t>A ground frost first thing then bright or sunny intervals. Temperatures slightly lower.</t>
  </si>
  <si>
    <t>SW15</t>
  </si>
  <si>
    <t>tr</t>
  </si>
  <si>
    <t>Cloudy and damp with outbreaks of rain on and off all day. Brezy at times too.</t>
  </si>
  <si>
    <t>Bright with sunny spells and cumulus clouds building. An odd light shower.</t>
  </si>
  <si>
    <t>WNW2</t>
  </si>
  <si>
    <t>WNW3</t>
  </si>
  <si>
    <t>Bright or sunny spells with a few scattered showers. Chilly in showers, warm in sun.</t>
  </si>
  <si>
    <t>N1</t>
  </si>
  <si>
    <t>NNW3</t>
  </si>
  <si>
    <t>W4</t>
  </si>
  <si>
    <t>E5</t>
  </si>
  <si>
    <t>Heavy, showery rain at times with some fleeing glimpses of sunshine later.</t>
  </si>
  <si>
    <t xml:space="preserve">Rain cleraring, then bright with some scattered showers. More rain by morning. </t>
  </si>
  <si>
    <t>A sharp frost, then a bright day with some sun. Clouding over as the day went on.</t>
  </si>
  <si>
    <t>A frost first thing, followed by a day of good sunny spells. Feeling chilly in the wind.</t>
  </si>
  <si>
    <t>Bright intervals and temperatures generally about average. On odd light shower,</t>
  </si>
  <si>
    <t>A frosty start, then bright with some sunshine. Temperatures feeling pleasant later.</t>
  </si>
  <si>
    <t>Again more sunshien at times, but with some showers too. A little cooler.</t>
  </si>
  <si>
    <t>NNW2</t>
  </si>
  <si>
    <t>W3</t>
  </si>
  <si>
    <t>SE2</t>
  </si>
  <si>
    <t>WSW2</t>
  </si>
  <si>
    <t>ENE6</t>
  </si>
  <si>
    <t>NE4</t>
  </si>
  <si>
    <t>NNE3</t>
  </si>
  <si>
    <t>NE5</t>
  </si>
  <si>
    <t>Heavy rain and strong winds. Feelign cold through the whole day, but milder by evening.</t>
  </si>
  <si>
    <t>Chilly and cloudy with one or two light showers. Becoming windy later with rain overnight.</t>
  </si>
  <si>
    <t>Cloudy and cold with outbreaks of mostly light rain. Little or no brightness.</t>
  </si>
  <si>
    <t>Bright with some showers but also some sunshine too. Feeling warm in the sunshine.</t>
  </si>
  <si>
    <t>Cloudy and generally wet through the day, though drier for a time in the afternoon.</t>
  </si>
  <si>
    <t>Bright spells and an odd shower. Breezy but often sunny. Turning wet overnight.</t>
  </si>
  <si>
    <t>Feelign fairly warm in the sunshien, and only one or two showers through the day.</t>
  </si>
  <si>
    <t>Sunshien and heavy showers. Temperatures rather disappointing, though some sun.</t>
  </si>
  <si>
    <t xml:space="preserve">A mix of sunshine and showers, one or two of the showers fairly sharp. </t>
  </si>
  <si>
    <t>Showers and spells of sunshine too. Temperatures close to average for mid-April.</t>
  </si>
  <si>
    <t>A showers day with some brief bright breaks in between. Feelign a bit on the cool side.</t>
  </si>
  <si>
    <t>E4</t>
  </si>
  <si>
    <t>A complete change: brighter with sunshine, and much warmer too. Rain overnight.</t>
  </si>
  <si>
    <t>A cold start with a widespread frost. Remaining generally bright and sunny afterwards.</t>
  </si>
  <si>
    <t>NOTES:</t>
  </si>
  <si>
    <t xml:space="preserve">A cold month, with a mean of 7.4C. This was the lowest April mean since 2001 (7.3C) and was lower than March! Only one really warm day - </t>
  </si>
  <si>
    <t>the 30th reached 19.2C. Nights were especially cold at times, with the mean min of 2.9C the lowest on record for April here. More significantly,</t>
  </si>
  <si>
    <t>the rainfall was well above average - almost double the usual for the month of April. It was the wettest April since 2000 here (123.0mm) but also</t>
  </si>
  <si>
    <t xml:space="preserve">the wettest month of any name since July 2009 (137.2mm). </t>
  </si>
  <si>
    <t>Date/anomaly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</si>
</sst>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14.6</c:v>
                </c:pt>
                <c:pt idx="1">
                  <c:v>12</c:v>
                </c:pt>
                <c:pt idx="2">
                  <c:v>11.2</c:v>
                </c:pt>
                <c:pt idx="3">
                  <c:v>4.9</c:v>
                </c:pt>
                <c:pt idx="4">
                  <c:v>10</c:v>
                </c:pt>
                <c:pt idx="5">
                  <c:v>9.7</c:v>
                </c:pt>
                <c:pt idx="6">
                  <c:v>10</c:v>
                </c:pt>
                <c:pt idx="7">
                  <c:v>12.6</c:v>
                </c:pt>
                <c:pt idx="8">
                  <c:v>11.9</c:v>
                </c:pt>
                <c:pt idx="9">
                  <c:v>12.8</c:v>
                </c:pt>
                <c:pt idx="10">
                  <c:v>13.7</c:v>
                </c:pt>
                <c:pt idx="11">
                  <c:v>12.5</c:v>
                </c:pt>
                <c:pt idx="12">
                  <c:v>12.9</c:v>
                </c:pt>
                <c:pt idx="13">
                  <c:v>11.5</c:v>
                </c:pt>
                <c:pt idx="14">
                  <c:v>11.3</c:v>
                </c:pt>
                <c:pt idx="15">
                  <c:v>12.6</c:v>
                </c:pt>
                <c:pt idx="16">
                  <c:v>13.2</c:v>
                </c:pt>
                <c:pt idx="17">
                  <c:v>10.3</c:v>
                </c:pt>
                <c:pt idx="18">
                  <c:v>10.6</c:v>
                </c:pt>
                <c:pt idx="19">
                  <c:v>12.2</c:v>
                </c:pt>
                <c:pt idx="20">
                  <c:v>12.8</c:v>
                </c:pt>
                <c:pt idx="21">
                  <c:v>10.9</c:v>
                </c:pt>
                <c:pt idx="22">
                  <c:v>14.9</c:v>
                </c:pt>
                <c:pt idx="23">
                  <c:v>13.6</c:v>
                </c:pt>
                <c:pt idx="24">
                  <c:v>11.7</c:v>
                </c:pt>
                <c:pt idx="25">
                  <c:v>13.5</c:v>
                </c:pt>
                <c:pt idx="26">
                  <c:v>7.9</c:v>
                </c:pt>
                <c:pt idx="27">
                  <c:v>9.5</c:v>
                </c:pt>
                <c:pt idx="28">
                  <c:v>12.8</c:v>
                </c:pt>
                <c:pt idx="29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-2.4</c:v>
                </c:pt>
                <c:pt idx="1">
                  <c:v>0.7</c:v>
                </c:pt>
                <c:pt idx="2">
                  <c:v>6.6</c:v>
                </c:pt>
                <c:pt idx="3">
                  <c:v>0.5</c:v>
                </c:pt>
                <c:pt idx="4">
                  <c:v>1</c:v>
                </c:pt>
                <c:pt idx="5">
                  <c:v>-2.5</c:v>
                </c:pt>
                <c:pt idx="6">
                  <c:v>5</c:v>
                </c:pt>
                <c:pt idx="7">
                  <c:v>7.1</c:v>
                </c:pt>
                <c:pt idx="8">
                  <c:v>7.7</c:v>
                </c:pt>
                <c:pt idx="9">
                  <c:v>3.9</c:v>
                </c:pt>
                <c:pt idx="10">
                  <c:v>0.6</c:v>
                </c:pt>
                <c:pt idx="11">
                  <c:v>2.2</c:v>
                </c:pt>
                <c:pt idx="12">
                  <c:v>-1</c:v>
                </c:pt>
                <c:pt idx="13">
                  <c:v>3.1</c:v>
                </c:pt>
                <c:pt idx="14">
                  <c:v>-2.4</c:v>
                </c:pt>
                <c:pt idx="15">
                  <c:v>-2.9</c:v>
                </c:pt>
                <c:pt idx="16">
                  <c:v>4.7</c:v>
                </c:pt>
                <c:pt idx="17">
                  <c:v>3.9</c:v>
                </c:pt>
                <c:pt idx="18">
                  <c:v>6.1</c:v>
                </c:pt>
                <c:pt idx="19">
                  <c:v>2.2</c:v>
                </c:pt>
                <c:pt idx="20">
                  <c:v>1.6</c:v>
                </c:pt>
                <c:pt idx="21">
                  <c:v>3.4</c:v>
                </c:pt>
                <c:pt idx="22">
                  <c:v>4.8</c:v>
                </c:pt>
                <c:pt idx="23">
                  <c:v>3.1</c:v>
                </c:pt>
                <c:pt idx="24">
                  <c:v>4.1</c:v>
                </c:pt>
                <c:pt idx="25">
                  <c:v>5.5</c:v>
                </c:pt>
                <c:pt idx="26">
                  <c:v>6.3</c:v>
                </c:pt>
                <c:pt idx="27">
                  <c:v>5.5</c:v>
                </c:pt>
                <c:pt idx="28">
                  <c:v>4.1</c:v>
                </c:pt>
                <c:pt idx="29">
                  <c:v>4.5</c:v>
                </c:pt>
              </c:numCache>
            </c:numRef>
          </c:val>
          <c:smooth val="0"/>
        </c:ser>
        <c:marker val="1"/>
        <c:axId val="48337898"/>
        <c:axId val="32387899"/>
      </c:lineChart>
      <c:cat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337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9.5</c:v>
                </c:pt>
                <c:pt idx="3">
                  <c:v>4</c:v>
                </c:pt>
                <c:pt idx="4">
                  <c:v>0</c:v>
                </c:pt>
                <c:pt idx="5">
                  <c:v>0.6</c:v>
                </c:pt>
                <c:pt idx="6">
                  <c:v>0.2</c:v>
                </c:pt>
                <c:pt idx="7">
                  <c:v>2</c:v>
                </c:pt>
                <c:pt idx="8">
                  <c:v>3.3</c:v>
                </c:pt>
                <c:pt idx="9">
                  <c:v>0</c:v>
                </c:pt>
                <c:pt idx="10">
                  <c:v>1.7</c:v>
                </c:pt>
                <c:pt idx="11">
                  <c:v>2.9</c:v>
                </c:pt>
                <c:pt idx="12">
                  <c:v>0</c:v>
                </c:pt>
                <c:pt idx="13">
                  <c:v>0.1</c:v>
                </c:pt>
                <c:pt idx="14">
                  <c:v>0</c:v>
                </c:pt>
                <c:pt idx="15">
                  <c:v>1.4</c:v>
                </c:pt>
                <c:pt idx="16">
                  <c:v>4.5</c:v>
                </c:pt>
                <c:pt idx="17">
                  <c:v>16.1</c:v>
                </c:pt>
                <c:pt idx="18">
                  <c:v>5.7</c:v>
                </c:pt>
                <c:pt idx="19">
                  <c:v>2.7</c:v>
                </c:pt>
                <c:pt idx="20">
                  <c:v>2.5</c:v>
                </c:pt>
                <c:pt idx="21">
                  <c:v>4.9</c:v>
                </c:pt>
                <c:pt idx="22">
                  <c:v>0.9</c:v>
                </c:pt>
                <c:pt idx="23">
                  <c:v>5.7</c:v>
                </c:pt>
                <c:pt idx="24">
                  <c:v>12.7</c:v>
                </c:pt>
                <c:pt idx="25">
                  <c:v>2.1</c:v>
                </c:pt>
              </c:numCache>
            </c:numRef>
          </c:val>
        </c:ser>
        <c:axId val="23055636"/>
        <c:axId val="6174133"/>
      </c:barChart>
      <c:cat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3055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9.6</c:v>
                </c:pt>
                <c:pt idx="1">
                  <c:v>3.3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1.6</c:v>
                </c:pt>
                <c:pt idx="6">
                  <c:v>0</c:v>
                </c:pt>
                <c:pt idx="7">
                  <c:v>1.4</c:v>
                </c:pt>
                <c:pt idx="8">
                  <c:v>0.7</c:v>
                </c:pt>
                <c:pt idx="9">
                  <c:v>7.5</c:v>
                </c:pt>
                <c:pt idx="10">
                  <c:v>6.3</c:v>
                </c:pt>
                <c:pt idx="11">
                  <c:v>6.6</c:v>
                </c:pt>
                <c:pt idx="12">
                  <c:v>5.5</c:v>
                </c:pt>
                <c:pt idx="13">
                  <c:v>6.8</c:v>
                </c:pt>
                <c:pt idx="14">
                  <c:v>5.9</c:v>
                </c:pt>
                <c:pt idx="15">
                  <c:v>4.9</c:v>
                </c:pt>
                <c:pt idx="16">
                  <c:v>6.2</c:v>
                </c:pt>
                <c:pt idx="17">
                  <c:v>1.2</c:v>
                </c:pt>
                <c:pt idx="18">
                  <c:v>1.7</c:v>
                </c:pt>
                <c:pt idx="19">
                  <c:v>7</c:v>
                </c:pt>
                <c:pt idx="20">
                  <c:v>5.2</c:v>
                </c:pt>
                <c:pt idx="21">
                  <c:v>3.9</c:v>
                </c:pt>
                <c:pt idx="22">
                  <c:v>4</c:v>
                </c:pt>
                <c:pt idx="23">
                  <c:v>6.2</c:v>
                </c:pt>
                <c:pt idx="24">
                  <c:v>1.3</c:v>
                </c:pt>
                <c:pt idx="25">
                  <c:v>4.3</c:v>
                </c:pt>
              </c:numCache>
            </c:numRef>
          </c:val>
        </c:ser>
        <c:axId val="55567198"/>
        <c:axId val="30342735"/>
      </c:barChart>
      <c:catAx>
        <c:axId val="5556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567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-6.1</c:v>
                </c:pt>
                <c:pt idx="1">
                  <c:v>-3.4</c:v>
                </c:pt>
                <c:pt idx="2">
                  <c:v>5</c:v>
                </c:pt>
                <c:pt idx="3">
                  <c:v>0.3</c:v>
                </c:pt>
                <c:pt idx="4">
                  <c:v>0.4</c:v>
                </c:pt>
                <c:pt idx="5">
                  <c:v>-6.5</c:v>
                </c:pt>
                <c:pt idx="6">
                  <c:v>4.2</c:v>
                </c:pt>
                <c:pt idx="7">
                  <c:v>6.5</c:v>
                </c:pt>
                <c:pt idx="8">
                  <c:v>6.9</c:v>
                </c:pt>
                <c:pt idx="9">
                  <c:v>1.3</c:v>
                </c:pt>
                <c:pt idx="10">
                  <c:v>-2.7</c:v>
                </c:pt>
                <c:pt idx="11">
                  <c:v>-1</c:v>
                </c:pt>
                <c:pt idx="12">
                  <c:v>-2.5</c:v>
                </c:pt>
                <c:pt idx="13">
                  <c:v>0.7</c:v>
                </c:pt>
                <c:pt idx="14">
                  <c:v>-5.8</c:v>
                </c:pt>
                <c:pt idx="15">
                  <c:v>-6.2</c:v>
                </c:pt>
                <c:pt idx="16">
                  <c:v>3.7</c:v>
                </c:pt>
                <c:pt idx="17">
                  <c:v>1.5</c:v>
                </c:pt>
                <c:pt idx="18">
                  <c:v>4.6</c:v>
                </c:pt>
                <c:pt idx="19">
                  <c:v>-0.8</c:v>
                </c:pt>
                <c:pt idx="20">
                  <c:v>-1.1</c:v>
                </c:pt>
                <c:pt idx="21">
                  <c:v>1.4</c:v>
                </c:pt>
                <c:pt idx="22">
                  <c:v>1.2</c:v>
                </c:pt>
                <c:pt idx="23">
                  <c:v>-1.2</c:v>
                </c:pt>
                <c:pt idx="24">
                  <c:v>0</c:v>
                </c:pt>
                <c:pt idx="25">
                  <c:v>6.1</c:v>
                </c:pt>
                <c:pt idx="26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649160"/>
        <c:axId val="41842441"/>
      </c:lineChart>
      <c:catAx>
        <c:axId val="464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49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3.5</c:v>
                </c:pt>
                <c:pt idx="1">
                  <c:v>9</c:v>
                </c:pt>
                <c:pt idx="2">
                  <c:v>9</c:v>
                </c:pt>
                <c:pt idx="3">
                  <c:v>1.5</c:v>
                </c:pt>
                <c:pt idx="4">
                  <c:v>5</c:v>
                </c:pt>
                <c:pt idx="5">
                  <c:v>5.5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7.5</c:v>
                </c:pt>
                <c:pt idx="10">
                  <c:v>9</c:v>
                </c:pt>
                <c:pt idx="11">
                  <c:v>9</c:v>
                </c:pt>
                <c:pt idx="12">
                  <c:v>6.5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7.8</c:v>
                </c:pt>
                <c:pt idx="17">
                  <c:v>7.9</c:v>
                </c:pt>
                <c:pt idx="18">
                  <c:v>8.7</c:v>
                </c:pt>
                <c:pt idx="19">
                  <c:v>7.8</c:v>
                </c:pt>
                <c:pt idx="20">
                  <c:v>8</c:v>
                </c:pt>
                <c:pt idx="21">
                  <c:v>8.4</c:v>
                </c:pt>
                <c:pt idx="22">
                  <c:v>8.6</c:v>
                </c:pt>
                <c:pt idx="23">
                  <c:v>8.7</c:v>
                </c:pt>
                <c:pt idx="24">
                  <c:v>8.9</c:v>
                </c:pt>
                <c:pt idx="25">
                  <c:v>9.8</c:v>
                </c:pt>
                <c:pt idx="26">
                  <c:v>9.9</c:v>
                </c:pt>
              </c:numCache>
            </c:numRef>
          </c:val>
          <c:smooth val="0"/>
        </c:ser>
        <c:marker val="1"/>
        <c:axId val="41037650"/>
        <c:axId val="33794531"/>
      </c:lineChart>
      <c:catAx>
        <c:axId val="41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037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9.3</c:v>
                </c:pt>
                <c:pt idx="1">
                  <c:v>9.3</c:v>
                </c:pt>
                <c:pt idx="2">
                  <c:v>9.2</c:v>
                </c:pt>
                <c:pt idx="3">
                  <c:v>9.1</c:v>
                </c:pt>
                <c:pt idx="4">
                  <c:v>9.1</c:v>
                </c:pt>
                <c:pt idx="5">
                  <c:v>9</c:v>
                </c:pt>
                <c:pt idx="6">
                  <c:v>8.9</c:v>
                </c:pt>
                <c:pt idx="7">
                  <c:v>8.9</c:v>
                </c:pt>
                <c:pt idx="8">
                  <c:v>9</c:v>
                </c:pt>
                <c:pt idx="9">
                  <c:v>9.1</c:v>
                </c:pt>
                <c:pt idx="10">
                  <c:v>9.2</c:v>
                </c:pt>
                <c:pt idx="11">
                  <c:v>9.1</c:v>
                </c:pt>
                <c:pt idx="12">
                  <c:v>9.2</c:v>
                </c:pt>
                <c:pt idx="13">
                  <c:v>9.2</c:v>
                </c:pt>
                <c:pt idx="14">
                  <c:v>9.2</c:v>
                </c:pt>
                <c:pt idx="15">
                  <c:v>9.1</c:v>
                </c:pt>
                <c:pt idx="16">
                  <c:v>9.1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9.2</c:v>
                </c:pt>
                <c:pt idx="21">
                  <c:v>9.3</c:v>
                </c:pt>
                <c:pt idx="22">
                  <c:v>9.2</c:v>
                </c:pt>
                <c:pt idx="23">
                  <c:v>9.3</c:v>
                </c:pt>
                <c:pt idx="24">
                  <c:v>9.4</c:v>
                </c:pt>
                <c:pt idx="25">
                  <c:v>9.5</c:v>
                </c:pt>
                <c:pt idx="26">
                  <c:v>9.6</c:v>
                </c:pt>
              </c:numCache>
            </c:numRef>
          </c:val>
          <c:smooth val="0"/>
        </c:ser>
        <c:marker val="1"/>
        <c:axId val="35715324"/>
        <c:axId val="53002461"/>
      </c:lineChart>
      <c:catAx>
        <c:axId val="3571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 val="autoZero"/>
        <c:auto val="1"/>
        <c:lblOffset val="100"/>
        <c:noMultiLvlLbl val="0"/>
      </c:catAx>
      <c:valAx>
        <c:axId val="5300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715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1023.8022187254214</c:v>
                </c:pt>
                <c:pt idx="1">
                  <c:v>1012.2610924611098</c:v>
                </c:pt>
                <c:pt idx="2">
                  <c:v>1003.1460839117964</c:v>
                </c:pt>
                <c:pt idx="3">
                  <c:v>1007.3023957350223</c:v>
                </c:pt>
                <c:pt idx="4">
                  <c:v>1023.2195236648764</c:v>
                </c:pt>
                <c:pt idx="5">
                  <c:v>1018.1632644631516</c:v>
                </c:pt>
                <c:pt idx="6">
                  <c:v>1014.0083836057913</c:v>
                </c:pt>
                <c:pt idx="7">
                  <c:v>1012.9572447033685</c:v>
                </c:pt>
                <c:pt idx="8">
                  <c:v>994.5439224601886</c:v>
                </c:pt>
                <c:pt idx="9">
                  <c:v>988.3667870886107</c:v>
                </c:pt>
                <c:pt idx="10">
                  <c:v>996.7919585321597</c:v>
                </c:pt>
                <c:pt idx="11">
                  <c:v>1003.5758225821447</c:v>
                </c:pt>
                <c:pt idx="12">
                  <c:v>1006.4975715207879</c:v>
                </c:pt>
                <c:pt idx="13">
                  <c:v>1009.8020472067559</c:v>
                </c:pt>
                <c:pt idx="14">
                  <c:v>1022.2642134361763</c:v>
                </c:pt>
                <c:pt idx="15">
                  <c:v>1026.6052933090257</c:v>
                </c:pt>
                <c:pt idx="16">
                  <c:v>997.9934552201354</c:v>
                </c:pt>
                <c:pt idx="17">
                  <c:v>980.0240885634095</c:v>
                </c:pt>
                <c:pt idx="18">
                  <c:v>983.9246870407293</c:v>
                </c:pt>
                <c:pt idx="19">
                  <c:v>992.4330909031827</c:v>
                </c:pt>
                <c:pt idx="20">
                  <c:v>996.191101056465</c:v>
                </c:pt>
                <c:pt idx="21">
                  <c:v>1001.5113941264075</c:v>
                </c:pt>
                <c:pt idx="22">
                  <c:v>996.1468159790036</c:v>
                </c:pt>
                <c:pt idx="23">
                  <c:v>999.8595177376147</c:v>
                </c:pt>
                <c:pt idx="24">
                  <c:v>986.5919373887133</c:v>
                </c:pt>
                <c:pt idx="25">
                  <c:v>988.6805712620826</c:v>
                </c:pt>
                <c:pt idx="26">
                  <c:v>1010.7076770807399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7260102"/>
        <c:axId val="65340919"/>
      </c:lineChart>
      <c:catAx>
        <c:axId val="726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0919"/>
        <c:crosses val="autoZero"/>
        <c:auto val="1"/>
        <c:lblOffset val="100"/>
        <c:noMultiLvlLbl val="0"/>
      </c:catAx>
      <c:valAx>
        <c:axId val="6534091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726010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1.065558585401028</c:v>
                </c:pt>
                <c:pt idx="1">
                  <c:v>5.729737263111905</c:v>
                </c:pt>
                <c:pt idx="2">
                  <c:v>6.160245685838147</c:v>
                </c:pt>
                <c:pt idx="3">
                  <c:v>0.7292420697132379</c:v>
                </c:pt>
                <c:pt idx="4">
                  <c:v>1.3424373967412673</c:v>
                </c:pt>
                <c:pt idx="5">
                  <c:v>2.0054136324880547</c:v>
                </c:pt>
                <c:pt idx="6">
                  <c:v>6.02590323099074</c:v>
                </c:pt>
                <c:pt idx="7">
                  <c:v>7.634743385923665</c:v>
                </c:pt>
                <c:pt idx="8">
                  <c:v>8.366810900774896</c:v>
                </c:pt>
                <c:pt idx="9">
                  <c:v>3.4065801736985764</c:v>
                </c:pt>
                <c:pt idx="10">
                  <c:v>6.061404217757318</c:v>
                </c:pt>
                <c:pt idx="11">
                  <c:v>6.994961438931849</c:v>
                </c:pt>
                <c:pt idx="12">
                  <c:v>5.05849620465754</c:v>
                </c:pt>
                <c:pt idx="13">
                  <c:v>2.407177944274055</c:v>
                </c:pt>
                <c:pt idx="14">
                  <c:v>-1.7648530216640002</c:v>
                </c:pt>
                <c:pt idx="15">
                  <c:v>2.556650821876775</c:v>
                </c:pt>
                <c:pt idx="16">
                  <c:v>6.160245685838147</c:v>
                </c:pt>
                <c:pt idx="17">
                  <c:v>4.341073851238808</c:v>
                </c:pt>
                <c:pt idx="18">
                  <c:v>6.4254485980722205</c:v>
                </c:pt>
                <c:pt idx="19">
                  <c:v>6.271301596450963</c:v>
                </c:pt>
                <c:pt idx="20">
                  <c:v>4.822225739418393</c:v>
                </c:pt>
                <c:pt idx="21">
                  <c:v>5.777961405996087</c:v>
                </c:pt>
                <c:pt idx="22">
                  <c:v>6.968702507097594</c:v>
                </c:pt>
                <c:pt idx="23">
                  <c:v>5.668961397662708</c:v>
                </c:pt>
                <c:pt idx="24">
                  <c:v>5.751067812508444</c:v>
                </c:pt>
                <c:pt idx="25">
                  <c:v>7.829356425642503</c:v>
                </c:pt>
                <c:pt idx="26">
                  <c:v>6.664432570887687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197360"/>
        <c:axId val="58123057"/>
      </c:lineChart>
      <c:catAx>
        <c:axId val="51197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23057"/>
        <c:crosses val="autoZero"/>
        <c:auto val="1"/>
        <c:lblOffset val="100"/>
        <c:noMultiLvlLbl val="0"/>
      </c:catAx>
      <c:valAx>
        <c:axId val="5812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1197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5a7243b-1600-438e-a734-f53c6bb0e689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b3dd2c1-d662-4b3c-8649-301f3e70a813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c6163c1-55a9-4136-b2a7-c05d13f022cc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2df51e7-c32d-435a-aa1c-0ee1fa15c7a6}" type="TxLink">
            <a:rPr lang="en-US" cap="none" sz="1000" b="0" i="0" u="none" baseline="0">
              <a:latin typeface="Arial"/>
              <a:ea typeface="Arial"/>
              <a:cs typeface="Arial"/>
            </a:rPr>
            <a:t>9.6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4a6abd4-bbff-4f52-b6b2-9cf0c1696868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4e4fcb-f636-47b2-aca1-2e2332b50afe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c6c5bbf-1c36-4981-a42a-67478184e216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ea1440e-3703-4156-9f90-41542ab14bec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e75b0cf-c03b-4177-8231-fc968d754d7d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R14" sqref="R1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7</v>
      </c>
      <c r="R4" s="60" t="s">
        <v>102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103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104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2.9</v>
      </c>
      <c r="C9" s="65">
        <v>2.2</v>
      </c>
      <c r="D9" s="65">
        <v>14.6</v>
      </c>
      <c r="E9" s="65">
        <v>-2.4</v>
      </c>
      <c r="F9" s="66">
        <f aca="true" t="shared" si="0" ref="F9:F38">AVERAGE(D9:E9)</f>
        <v>6.1</v>
      </c>
      <c r="G9" s="67">
        <f>100*(AJ9/AH9)</f>
        <v>87.70285810757639</v>
      </c>
      <c r="H9" s="67">
        <f aca="true" t="shared" si="1" ref="H9:H38">AK9</f>
        <v>1.065558585401028</v>
      </c>
      <c r="I9" s="68">
        <v>-6.1</v>
      </c>
      <c r="J9" s="66"/>
      <c r="K9" s="68"/>
      <c r="L9" s="65">
        <v>3.5</v>
      </c>
      <c r="M9" s="65"/>
      <c r="N9" s="65">
        <v>9.2</v>
      </c>
      <c r="O9" s="66">
        <v>9.3</v>
      </c>
      <c r="P9" s="69" t="s">
        <v>105</v>
      </c>
      <c r="Q9" s="70">
        <v>15</v>
      </c>
      <c r="R9" s="67">
        <v>9.6</v>
      </c>
      <c r="S9" s="67">
        <v>72.1</v>
      </c>
      <c r="T9" s="67">
        <v>0</v>
      </c>
      <c r="U9" s="67"/>
      <c r="V9" s="71">
        <v>0</v>
      </c>
      <c r="W9" s="64">
        <v>1013.1</v>
      </c>
      <c r="X9" s="121">
        <f aca="true" t="shared" si="2" ref="X9:X38">W9+AU17</f>
        <v>1023.8022187254214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1</v>
      </c>
      <c r="AH9">
        <f>6.107*EXP(17.38*(B9/(239+B9)))</f>
        <v>7.52171732970973</v>
      </c>
      <c r="AI9">
        <f aca="true" t="shared" si="5" ref="AI9:AI39">IF(W9&gt;=0,6.107*EXP(17.38*(C9/(239+C9))),6.107*EXP(22.44*(C9/(272.4+C9))))</f>
        <v>7.1560610769283075</v>
      </c>
      <c r="AJ9">
        <f aca="true" t="shared" si="6" ref="AJ9:AJ39">IF(C9&gt;=0,AI9-(0.000799*1000*(B9-C9)),AI9-(0.00072*1000*(B9-C9)))</f>
        <v>6.596761076928308</v>
      </c>
      <c r="AK9">
        <f>239*LN(AJ9/6.107)/(17.38-LN(AJ9/6.107))</f>
        <v>1.065558585401028</v>
      </c>
      <c r="AM9">
        <f>COUNTIF(V9:V39,"&lt;1")</f>
        <v>1</v>
      </c>
      <c r="AN9">
        <f>COUNTIF(E9:E39,"&lt;0")</f>
        <v>5</v>
      </c>
      <c r="AO9">
        <f>COUNTIF(I9:I39,"&lt;0")</f>
        <v>11</v>
      </c>
      <c r="AP9">
        <f>COUNTIF(Q9:Q39,"&gt;=39")</f>
        <v>2</v>
      </c>
    </row>
    <row r="10" spans="1:37" ht="12.75">
      <c r="A10" s="72">
        <v>2</v>
      </c>
      <c r="B10" s="73">
        <v>8.8</v>
      </c>
      <c r="C10" s="74">
        <v>7.4</v>
      </c>
      <c r="D10" s="74">
        <v>12</v>
      </c>
      <c r="E10" s="74">
        <v>0.7</v>
      </c>
      <c r="F10" s="75">
        <f t="shared" si="0"/>
        <v>6.35</v>
      </c>
      <c r="G10" s="67">
        <f aca="true" t="shared" si="7" ref="G10:G38">100*(AJ10/AH10)</f>
        <v>81.03427175180524</v>
      </c>
      <c r="H10" s="76">
        <f t="shared" si="1"/>
        <v>5.729737263111905</v>
      </c>
      <c r="I10" s="77">
        <v>-3.4</v>
      </c>
      <c r="J10" s="75"/>
      <c r="K10" s="77"/>
      <c r="L10" s="74">
        <v>9</v>
      </c>
      <c r="M10" s="74"/>
      <c r="N10" s="74">
        <v>8.9</v>
      </c>
      <c r="O10" s="75">
        <v>9.3</v>
      </c>
      <c r="P10" s="78" t="s">
        <v>106</v>
      </c>
      <c r="Q10" s="79">
        <v>14</v>
      </c>
      <c r="R10" s="76">
        <v>3.3</v>
      </c>
      <c r="S10" s="76">
        <v>72</v>
      </c>
      <c r="T10" s="76">
        <v>0</v>
      </c>
      <c r="U10" s="76"/>
      <c r="V10" s="80">
        <v>8</v>
      </c>
      <c r="W10" s="73">
        <v>1001.9</v>
      </c>
      <c r="X10" s="121">
        <f t="shared" si="2"/>
        <v>1012.2610924611098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11.32081514642534</v>
      </c>
      <c r="AI10">
        <f t="shared" si="5"/>
        <v>10.29234011027384</v>
      </c>
      <c r="AJ10">
        <f t="shared" si="6"/>
        <v>9.173740110273839</v>
      </c>
      <c r="AK10">
        <f aca="true" t="shared" si="12" ref="AK10:AK39">239*LN(AJ10/6.107)/(17.38-LN(AJ10/6.107))</f>
        <v>5.729737263111905</v>
      </c>
    </row>
    <row r="11" spans="1:37" ht="12.75">
      <c r="A11" s="63">
        <v>3</v>
      </c>
      <c r="B11" s="64">
        <v>9.4</v>
      </c>
      <c r="C11" s="65">
        <v>7.9</v>
      </c>
      <c r="D11" s="65">
        <v>11.2</v>
      </c>
      <c r="E11" s="65">
        <v>6.6</v>
      </c>
      <c r="F11" s="66">
        <f t="shared" si="0"/>
        <v>8.899999999999999</v>
      </c>
      <c r="G11" s="67">
        <f t="shared" si="7"/>
        <v>80.17306174353287</v>
      </c>
      <c r="H11" s="67">
        <f t="shared" si="1"/>
        <v>6.160245685838147</v>
      </c>
      <c r="I11" s="68">
        <v>5</v>
      </c>
      <c r="J11" s="66"/>
      <c r="K11" s="68"/>
      <c r="L11" s="65">
        <v>9</v>
      </c>
      <c r="M11" s="65"/>
      <c r="N11" s="65">
        <v>9.1</v>
      </c>
      <c r="O11" s="66">
        <v>9.2</v>
      </c>
      <c r="P11" s="69" t="s">
        <v>107</v>
      </c>
      <c r="Q11" s="70">
        <v>27</v>
      </c>
      <c r="R11" s="67">
        <v>3</v>
      </c>
      <c r="S11" s="67">
        <v>45.7</v>
      </c>
      <c r="T11" s="67">
        <v>9.5</v>
      </c>
      <c r="U11" s="67"/>
      <c r="V11" s="71">
        <v>7</v>
      </c>
      <c r="W11" s="64">
        <v>992.9</v>
      </c>
      <c r="X11" s="121">
        <f t="shared" si="2"/>
        <v>1003.1460839117964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11.78859945679543</v>
      </c>
      <c r="AI11">
        <f t="shared" si="5"/>
        <v>10.649781121194382</v>
      </c>
      <c r="AJ11">
        <f t="shared" si="6"/>
        <v>9.45128112119438</v>
      </c>
      <c r="AK11">
        <f t="shared" si="12"/>
        <v>6.160245685838147</v>
      </c>
    </row>
    <row r="12" spans="1:37" ht="12.75">
      <c r="A12" s="72">
        <v>4</v>
      </c>
      <c r="B12" s="73">
        <v>1</v>
      </c>
      <c r="C12" s="74">
        <v>0.9</v>
      </c>
      <c r="D12" s="74">
        <v>4.9</v>
      </c>
      <c r="E12" s="74">
        <v>0.5</v>
      </c>
      <c r="F12" s="75">
        <f t="shared" si="0"/>
        <v>2.7</v>
      </c>
      <c r="G12" s="67">
        <f t="shared" si="7"/>
        <v>98.06420759798559</v>
      </c>
      <c r="H12" s="76">
        <f t="shared" si="1"/>
        <v>0.7292420697132379</v>
      </c>
      <c r="I12" s="77">
        <v>0.3</v>
      </c>
      <c r="J12" s="75"/>
      <c r="K12" s="77"/>
      <c r="L12" s="74">
        <v>1.5</v>
      </c>
      <c r="M12" s="74"/>
      <c r="N12" s="74">
        <v>9</v>
      </c>
      <c r="O12" s="75">
        <v>9.1</v>
      </c>
      <c r="P12" s="78" t="s">
        <v>108</v>
      </c>
      <c r="Q12" s="79">
        <v>31</v>
      </c>
      <c r="R12" s="76">
        <v>0</v>
      </c>
      <c r="S12" s="76">
        <v>20</v>
      </c>
      <c r="T12" s="76">
        <v>4</v>
      </c>
      <c r="U12" s="76"/>
      <c r="V12" s="80">
        <v>8</v>
      </c>
      <c r="W12" s="73">
        <v>996.7</v>
      </c>
      <c r="X12" s="121">
        <f t="shared" si="2"/>
        <v>1007.3023957350223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6.565655306052358</v>
      </c>
      <c r="AI12">
        <f t="shared" si="5"/>
        <v>6.5184578494953405</v>
      </c>
      <c r="AJ12">
        <f t="shared" si="6"/>
        <v>6.43855784949534</v>
      </c>
      <c r="AK12">
        <f t="shared" si="12"/>
        <v>0.7292420697132379</v>
      </c>
    </row>
    <row r="13" spans="1:37" ht="12.75">
      <c r="A13" s="63">
        <v>5</v>
      </c>
      <c r="B13" s="64">
        <v>4.9</v>
      </c>
      <c r="C13" s="65">
        <v>3.5</v>
      </c>
      <c r="D13" s="65">
        <v>10</v>
      </c>
      <c r="E13" s="65">
        <v>1</v>
      </c>
      <c r="F13" s="66">
        <f t="shared" si="0"/>
        <v>5.5</v>
      </c>
      <c r="G13" s="67">
        <f t="shared" si="7"/>
        <v>77.7173731543215</v>
      </c>
      <c r="H13" s="67">
        <f t="shared" si="1"/>
        <v>1.3424373967412673</v>
      </c>
      <c r="I13" s="68">
        <v>0.4</v>
      </c>
      <c r="J13" s="66"/>
      <c r="K13" s="68"/>
      <c r="L13" s="65">
        <v>5</v>
      </c>
      <c r="M13" s="65"/>
      <c r="N13" s="65">
        <v>8.2</v>
      </c>
      <c r="O13" s="66">
        <v>9.1</v>
      </c>
      <c r="P13" s="69" t="s">
        <v>109</v>
      </c>
      <c r="Q13" s="70">
        <v>19</v>
      </c>
      <c r="R13" s="67">
        <v>3</v>
      </c>
      <c r="S13" s="67">
        <v>75.9</v>
      </c>
      <c r="T13" s="67">
        <v>0</v>
      </c>
      <c r="U13" s="67"/>
      <c r="V13" s="71">
        <v>8</v>
      </c>
      <c r="W13" s="64">
        <v>1012.6</v>
      </c>
      <c r="X13" s="121">
        <f t="shared" si="2"/>
        <v>1023.2195236648764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8.659035531865939</v>
      </c>
      <c r="AI13">
        <f t="shared" si="5"/>
        <v>7.848174955865539</v>
      </c>
      <c r="AJ13">
        <f t="shared" si="6"/>
        <v>6.729574955865539</v>
      </c>
      <c r="AK13">
        <f t="shared" si="12"/>
        <v>1.3424373967412673</v>
      </c>
    </row>
    <row r="14" spans="1:37" ht="12.75">
      <c r="A14" s="72">
        <v>6</v>
      </c>
      <c r="B14" s="73">
        <v>5</v>
      </c>
      <c r="C14" s="74">
        <v>3.8</v>
      </c>
      <c r="D14" s="74">
        <v>9.7</v>
      </c>
      <c r="E14" s="74">
        <v>-2.5</v>
      </c>
      <c r="F14" s="75">
        <f t="shared" si="0"/>
        <v>3.5999999999999996</v>
      </c>
      <c r="G14" s="67">
        <f t="shared" si="7"/>
        <v>80.93466077416659</v>
      </c>
      <c r="H14" s="76">
        <f t="shared" si="1"/>
        <v>2.0054136324880547</v>
      </c>
      <c r="I14" s="77">
        <v>-6.5</v>
      </c>
      <c r="J14" s="75"/>
      <c r="K14" s="77"/>
      <c r="L14" s="74">
        <v>5.5</v>
      </c>
      <c r="M14" s="74"/>
      <c r="N14" s="74">
        <v>8.2</v>
      </c>
      <c r="O14" s="75">
        <v>9</v>
      </c>
      <c r="P14" s="78" t="s">
        <v>110</v>
      </c>
      <c r="Q14" s="79">
        <v>25</v>
      </c>
      <c r="R14" s="76">
        <v>1.6</v>
      </c>
      <c r="S14" s="76">
        <v>35</v>
      </c>
      <c r="T14" s="76">
        <v>0.6</v>
      </c>
      <c r="U14" s="76"/>
      <c r="V14" s="80">
        <v>2</v>
      </c>
      <c r="W14" s="73">
        <v>1007.6</v>
      </c>
      <c r="X14" s="121">
        <f t="shared" si="2"/>
        <v>1018.1632644631516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6</v>
      </c>
      <c r="AE14">
        <f t="shared" si="3"/>
        <v>0</v>
      </c>
      <c r="AF14">
        <f t="shared" si="4"/>
        <v>0</v>
      </c>
      <c r="AH14">
        <f t="shared" si="11"/>
        <v>8.719685713352307</v>
      </c>
      <c r="AI14">
        <f t="shared" si="5"/>
        <v>8.016048052675158</v>
      </c>
      <c r="AJ14">
        <f t="shared" si="6"/>
        <v>7.057248052675158</v>
      </c>
      <c r="AK14">
        <f t="shared" si="12"/>
        <v>2.0054136324880547</v>
      </c>
    </row>
    <row r="15" spans="1:37" ht="12.75">
      <c r="A15" s="63">
        <v>7</v>
      </c>
      <c r="B15" s="64">
        <v>8</v>
      </c>
      <c r="C15" s="65">
        <v>7.1</v>
      </c>
      <c r="D15" s="65">
        <v>10</v>
      </c>
      <c r="E15" s="65">
        <v>5</v>
      </c>
      <c r="F15" s="66">
        <f t="shared" si="0"/>
        <v>7.5</v>
      </c>
      <c r="G15" s="67">
        <f t="shared" si="7"/>
        <v>87.3287918666985</v>
      </c>
      <c r="H15" s="67">
        <f t="shared" si="1"/>
        <v>6.02590323099074</v>
      </c>
      <c r="I15" s="68">
        <v>4.2</v>
      </c>
      <c r="J15" s="66"/>
      <c r="K15" s="68"/>
      <c r="L15" s="65">
        <v>8</v>
      </c>
      <c r="M15" s="65"/>
      <c r="N15" s="65">
        <v>8.1</v>
      </c>
      <c r="O15" s="66">
        <v>8.9</v>
      </c>
      <c r="P15" s="69" t="s">
        <v>111</v>
      </c>
      <c r="Q15" s="70">
        <v>14</v>
      </c>
      <c r="R15" s="67">
        <v>0</v>
      </c>
      <c r="S15" s="67">
        <v>20</v>
      </c>
      <c r="T15" s="67">
        <v>0.2</v>
      </c>
      <c r="U15" s="67"/>
      <c r="V15" s="71">
        <v>8</v>
      </c>
      <c r="W15" s="64">
        <v>1003.6</v>
      </c>
      <c r="X15" s="121">
        <f t="shared" si="2"/>
        <v>1014.0083836057913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10.722567515390086</v>
      </c>
      <c r="AI15">
        <f t="shared" si="5"/>
        <v>10.082988668281233</v>
      </c>
      <c r="AJ15">
        <f t="shared" si="6"/>
        <v>9.363888668281232</v>
      </c>
      <c r="AK15">
        <f t="shared" si="12"/>
        <v>6.02590323099074</v>
      </c>
    </row>
    <row r="16" spans="1:37" ht="12.75">
      <c r="A16" s="72">
        <v>8</v>
      </c>
      <c r="B16" s="73">
        <v>9.1</v>
      </c>
      <c r="C16" s="74">
        <v>8.4</v>
      </c>
      <c r="D16" s="74">
        <v>12.6</v>
      </c>
      <c r="E16" s="74">
        <v>7.1</v>
      </c>
      <c r="F16" s="75">
        <f t="shared" si="0"/>
        <v>9.85</v>
      </c>
      <c r="G16" s="67">
        <f t="shared" si="7"/>
        <v>90.53195503629263</v>
      </c>
      <c r="H16" s="76">
        <f t="shared" si="1"/>
        <v>7.634743385923665</v>
      </c>
      <c r="I16" s="77">
        <v>6.5</v>
      </c>
      <c r="J16" s="75"/>
      <c r="K16" s="77"/>
      <c r="L16" s="74">
        <v>9</v>
      </c>
      <c r="M16" s="74"/>
      <c r="N16" s="74">
        <v>8.6</v>
      </c>
      <c r="O16" s="75">
        <v>8.9</v>
      </c>
      <c r="P16" s="78" t="s">
        <v>112</v>
      </c>
      <c r="Q16" s="79">
        <v>27</v>
      </c>
      <c r="R16" s="76">
        <v>1.4</v>
      </c>
      <c r="S16" s="76">
        <v>82.3</v>
      </c>
      <c r="T16" s="76">
        <v>2</v>
      </c>
      <c r="U16" s="76"/>
      <c r="V16" s="80">
        <v>8</v>
      </c>
      <c r="W16" s="73">
        <v>1002.6</v>
      </c>
      <c r="X16" s="121">
        <f t="shared" si="2"/>
        <v>1012.9572447033685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11.552622622814317</v>
      </c>
      <c r="AI16">
        <f t="shared" si="5"/>
        <v>11.018115118398828</v>
      </c>
      <c r="AJ16">
        <f t="shared" si="6"/>
        <v>10.458815118398828</v>
      </c>
      <c r="AK16">
        <f t="shared" si="12"/>
        <v>7.634743385923665</v>
      </c>
    </row>
    <row r="17" spans="1:47" ht="12.75">
      <c r="A17" s="63">
        <v>9</v>
      </c>
      <c r="B17" s="64">
        <v>9.8</v>
      </c>
      <c r="C17" s="65">
        <v>9.1</v>
      </c>
      <c r="D17" s="65">
        <v>11.9</v>
      </c>
      <c r="E17" s="65">
        <v>7.7</v>
      </c>
      <c r="F17" s="66">
        <f t="shared" si="0"/>
        <v>9.8</v>
      </c>
      <c r="G17" s="67">
        <f t="shared" si="7"/>
        <v>90.78014482494407</v>
      </c>
      <c r="H17" s="67">
        <f t="shared" si="1"/>
        <v>8.366810900774896</v>
      </c>
      <c r="I17" s="68">
        <v>6.9</v>
      </c>
      <c r="J17" s="66"/>
      <c r="K17" s="68"/>
      <c r="L17" s="65">
        <v>10</v>
      </c>
      <c r="M17" s="65"/>
      <c r="N17" s="65">
        <v>8.9</v>
      </c>
      <c r="O17" s="66">
        <v>9</v>
      </c>
      <c r="P17" s="69" t="s">
        <v>113</v>
      </c>
      <c r="Q17" s="70">
        <v>29</v>
      </c>
      <c r="R17" s="67">
        <v>0.7</v>
      </c>
      <c r="S17" s="67">
        <v>50</v>
      </c>
      <c r="T17" s="67">
        <v>3.3</v>
      </c>
      <c r="U17" s="67"/>
      <c r="V17" s="71">
        <v>8</v>
      </c>
      <c r="W17" s="64">
        <v>984.4</v>
      </c>
      <c r="X17" s="121">
        <f t="shared" si="2"/>
        <v>994.5439224601886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12.109831554040031</v>
      </c>
      <c r="AI17">
        <f t="shared" si="5"/>
        <v>11.552622622814317</v>
      </c>
      <c r="AJ17">
        <f t="shared" si="6"/>
        <v>10.993322622814317</v>
      </c>
      <c r="AK17">
        <f t="shared" si="12"/>
        <v>8.366810900774896</v>
      </c>
      <c r="AU17">
        <f aca="true" t="shared" si="13" ref="AU17:AU47">W9*(10^(85/(18429.1+(67.53*B9)+(0.003*31)))-1)</f>
        <v>10.702218725421424</v>
      </c>
    </row>
    <row r="18" spans="1:47" ht="12.75">
      <c r="A18" s="72">
        <v>10</v>
      </c>
      <c r="B18" s="73">
        <v>7.4</v>
      </c>
      <c r="C18" s="74">
        <v>5.7</v>
      </c>
      <c r="D18" s="74">
        <v>12.8</v>
      </c>
      <c r="E18" s="74">
        <v>3.9</v>
      </c>
      <c r="F18" s="75">
        <f t="shared" si="0"/>
        <v>8.35</v>
      </c>
      <c r="G18" s="67">
        <f t="shared" si="7"/>
        <v>75.75087111657388</v>
      </c>
      <c r="H18" s="76">
        <f t="shared" si="1"/>
        <v>3.4065801736985764</v>
      </c>
      <c r="I18" s="77">
        <v>1.3</v>
      </c>
      <c r="J18" s="75"/>
      <c r="K18" s="77"/>
      <c r="L18" s="74">
        <v>7.5</v>
      </c>
      <c r="M18" s="74"/>
      <c r="N18" s="74">
        <v>9.1</v>
      </c>
      <c r="O18" s="75">
        <v>9.1</v>
      </c>
      <c r="P18" s="78" t="s">
        <v>121</v>
      </c>
      <c r="Q18" s="79">
        <v>26</v>
      </c>
      <c r="R18" s="76">
        <v>7.5</v>
      </c>
      <c r="S18" s="76">
        <v>93.4</v>
      </c>
      <c r="T18" s="76" t="s">
        <v>122</v>
      </c>
      <c r="U18" s="76"/>
      <c r="V18" s="80">
        <v>7</v>
      </c>
      <c r="W18" s="73">
        <v>978.2</v>
      </c>
      <c r="X18" s="121">
        <f t="shared" si="2"/>
        <v>988.3667870886107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10.29234011027384</v>
      </c>
      <c r="AI18">
        <f t="shared" si="5"/>
        <v>9.154837291812974</v>
      </c>
      <c r="AJ18">
        <f t="shared" si="6"/>
        <v>7.7965372918129745</v>
      </c>
      <c r="AK18">
        <f t="shared" si="12"/>
        <v>3.4065801736985764</v>
      </c>
      <c r="AU18">
        <f t="shared" si="13"/>
        <v>10.361092461109859</v>
      </c>
    </row>
    <row r="19" spans="1:47" ht="12.75">
      <c r="A19" s="63">
        <v>11</v>
      </c>
      <c r="B19" s="64">
        <v>9.1</v>
      </c>
      <c r="C19" s="65">
        <v>7.7</v>
      </c>
      <c r="D19" s="65">
        <v>13.7</v>
      </c>
      <c r="E19" s="65">
        <v>0.6</v>
      </c>
      <c r="F19" s="66">
        <f t="shared" si="0"/>
        <v>7.1499999999999995</v>
      </c>
      <c r="G19" s="67">
        <f t="shared" si="7"/>
        <v>81.25352577326697</v>
      </c>
      <c r="H19" s="67">
        <f t="shared" si="1"/>
        <v>6.061404217757318</v>
      </c>
      <c r="I19" s="68">
        <v>-2.7</v>
      </c>
      <c r="J19" s="66"/>
      <c r="K19" s="68"/>
      <c r="L19" s="65">
        <v>9</v>
      </c>
      <c r="M19" s="65"/>
      <c r="N19" s="65">
        <v>8.9</v>
      </c>
      <c r="O19" s="66">
        <v>9.2</v>
      </c>
      <c r="P19" s="69" t="s">
        <v>126</v>
      </c>
      <c r="Q19" s="70">
        <v>20</v>
      </c>
      <c r="R19" s="67">
        <v>6.3</v>
      </c>
      <c r="S19" s="67">
        <v>98.2</v>
      </c>
      <c r="T19" s="67">
        <v>1.7</v>
      </c>
      <c r="U19" s="67"/>
      <c r="V19" s="71">
        <v>4</v>
      </c>
      <c r="W19" s="64">
        <v>986.6</v>
      </c>
      <c r="X19" s="121">
        <f t="shared" si="2"/>
        <v>996.7919585321597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11.552622622814317</v>
      </c>
      <c r="AI19">
        <f t="shared" si="5"/>
        <v>10.5055132003167</v>
      </c>
      <c r="AJ19">
        <f t="shared" si="6"/>
        <v>9.386913200316702</v>
      </c>
      <c r="AK19">
        <f t="shared" si="12"/>
        <v>6.061404217757318</v>
      </c>
      <c r="AU19">
        <f t="shared" si="13"/>
        <v>10.246083911796442</v>
      </c>
    </row>
    <row r="20" spans="1:47" ht="12.75">
      <c r="A20" s="72">
        <v>12</v>
      </c>
      <c r="B20" s="73">
        <v>8.7</v>
      </c>
      <c r="C20" s="74">
        <v>7.9</v>
      </c>
      <c r="D20" s="74">
        <v>12.5</v>
      </c>
      <c r="E20" s="74">
        <v>2.2</v>
      </c>
      <c r="F20" s="75">
        <f t="shared" si="0"/>
        <v>7.35</v>
      </c>
      <c r="G20" s="67">
        <f t="shared" si="7"/>
        <v>89.02677160132674</v>
      </c>
      <c r="H20" s="76">
        <f t="shared" si="1"/>
        <v>6.994961438931849</v>
      </c>
      <c r="I20" s="77">
        <v>-1</v>
      </c>
      <c r="J20" s="75"/>
      <c r="K20" s="77"/>
      <c r="L20" s="74">
        <v>9</v>
      </c>
      <c r="M20" s="74"/>
      <c r="N20" s="74">
        <v>8.9</v>
      </c>
      <c r="O20" s="75">
        <v>9.1</v>
      </c>
      <c r="P20" s="78" t="s">
        <v>125</v>
      </c>
      <c r="Q20" s="79">
        <v>12</v>
      </c>
      <c r="R20" s="76">
        <v>6.6</v>
      </c>
      <c r="S20" s="76">
        <v>95</v>
      </c>
      <c r="T20" s="76">
        <v>2.9</v>
      </c>
      <c r="U20" s="76"/>
      <c r="V20" s="80">
        <v>4</v>
      </c>
      <c r="W20" s="73">
        <v>993.3</v>
      </c>
      <c r="X20" s="121">
        <f t="shared" si="2"/>
        <v>1003.5758225821447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11.244461571652899</v>
      </c>
      <c r="AI20">
        <f t="shared" si="5"/>
        <v>10.649781121194382</v>
      </c>
      <c r="AJ20">
        <f t="shared" si="6"/>
        <v>10.010581121194383</v>
      </c>
      <c r="AK20">
        <f t="shared" si="12"/>
        <v>6.994961438931849</v>
      </c>
      <c r="AU20">
        <f t="shared" si="13"/>
        <v>10.602395735022213</v>
      </c>
    </row>
    <row r="21" spans="1:47" ht="12.75">
      <c r="A21" s="63">
        <v>13</v>
      </c>
      <c r="B21" s="64">
        <v>6.2</v>
      </c>
      <c r="C21" s="65">
        <v>5.7</v>
      </c>
      <c r="D21" s="65">
        <v>12.9</v>
      </c>
      <c r="E21" s="65">
        <v>-1</v>
      </c>
      <c r="F21" s="66">
        <f t="shared" si="0"/>
        <v>5.95</v>
      </c>
      <c r="G21" s="67">
        <f t="shared" si="7"/>
        <v>92.38238836923001</v>
      </c>
      <c r="H21" s="67">
        <f t="shared" si="1"/>
        <v>5.05849620465754</v>
      </c>
      <c r="I21" s="68">
        <v>-2.5</v>
      </c>
      <c r="J21" s="66"/>
      <c r="K21" s="68"/>
      <c r="L21" s="65">
        <v>6.5</v>
      </c>
      <c r="M21" s="65"/>
      <c r="N21" s="65">
        <v>8.8</v>
      </c>
      <c r="O21" s="66">
        <v>9.2</v>
      </c>
      <c r="P21" s="69" t="s">
        <v>128</v>
      </c>
      <c r="Q21" s="70">
        <v>15</v>
      </c>
      <c r="R21" s="67">
        <v>5.5</v>
      </c>
      <c r="S21" s="67">
        <v>87.6</v>
      </c>
      <c r="T21" s="67">
        <v>0</v>
      </c>
      <c r="U21" s="67"/>
      <c r="V21" s="71">
        <v>4</v>
      </c>
      <c r="W21" s="64">
        <v>996.1</v>
      </c>
      <c r="X21" s="121">
        <f t="shared" si="2"/>
        <v>1006.4975715207879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9.477279648605764</v>
      </c>
      <c r="AI21">
        <f t="shared" si="5"/>
        <v>9.154837291812974</v>
      </c>
      <c r="AJ21">
        <f t="shared" si="6"/>
        <v>8.755337291812975</v>
      </c>
      <c r="AK21">
        <f t="shared" si="12"/>
        <v>5.05849620465754</v>
      </c>
      <c r="AU21">
        <f t="shared" si="13"/>
        <v>10.619523664876361</v>
      </c>
    </row>
    <row r="22" spans="1:47" ht="12.75">
      <c r="A22" s="72">
        <v>14</v>
      </c>
      <c r="B22" s="73">
        <v>7</v>
      </c>
      <c r="C22" s="74">
        <v>5.1</v>
      </c>
      <c r="D22" s="74">
        <v>11.5</v>
      </c>
      <c r="E22" s="74">
        <v>3.1</v>
      </c>
      <c r="F22" s="75">
        <f t="shared" si="0"/>
        <v>7.3</v>
      </c>
      <c r="G22" s="67">
        <f t="shared" si="7"/>
        <v>72.52425241064567</v>
      </c>
      <c r="H22" s="76">
        <f t="shared" si="1"/>
        <v>2.407177944274055</v>
      </c>
      <c r="I22" s="77">
        <v>0.7</v>
      </c>
      <c r="J22" s="75"/>
      <c r="K22" s="77"/>
      <c r="L22" s="74">
        <v>7.5</v>
      </c>
      <c r="M22" s="74"/>
      <c r="N22" s="74">
        <v>8.9</v>
      </c>
      <c r="O22" s="75">
        <v>9.2</v>
      </c>
      <c r="P22" s="78" t="s">
        <v>109</v>
      </c>
      <c r="Q22" s="79">
        <v>14</v>
      </c>
      <c r="R22" s="76">
        <v>6.8</v>
      </c>
      <c r="S22" s="76">
        <v>83.9</v>
      </c>
      <c r="T22" s="76">
        <v>0.1</v>
      </c>
      <c r="U22" s="76"/>
      <c r="V22" s="80">
        <v>2</v>
      </c>
      <c r="W22" s="73">
        <v>999.4</v>
      </c>
      <c r="X22" s="121">
        <f t="shared" si="2"/>
        <v>1009.8020472067559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10.014043920115377</v>
      </c>
      <c r="AI22">
        <f t="shared" si="5"/>
        <v>8.780710489137393</v>
      </c>
      <c r="AJ22">
        <f t="shared" si="6"/>
        <v>7.262610489137392</v>
      </c>
      <c r="AK22">
        <f t="shared" si="12"/>
        <v>2.407177944274055</v>
      </c>
      <c r="AU22">
        <f t="shared" si="13"/>
        <v>10.563264463151585</v>
      </c>
    </row>
    <row r="23" spans="1:47" ht="12.75">
      <c r="A23" s="63">
        <v>15</v>
      </c>
      <c r="B23" s="64">
        <v>6.1</v>
      </c>
      <c r="C23" s="65">
        <v>3.2</v>
      </c>
      <c r="D23" s="65">
        <v>11.3</v>
      </c>
      <c r="E23" s="65">
        <v>-2.4</v>
      </c>
      <c r="F23" s="66">
        <f t="shared" si="0"/>
        <v>4.45</v>
      </c>
      <c r="G23" s="67">
        <f t="shared" si="7"/>
        <v>57.0156581690289</v>
      </c>
      <c r="H23" s="67">
        <f t="shared" si="1"/>
        <v>-1.7648530216640002</v>
      </c>
      <c r="I23" s="68">
        <v>-5.8</v>
      </c>
      <c r="J23" s="66"/>
      <c r="K23" s="68"/>
      <c r="L23" s="65">
        <v>6.5</v>
      </c>
      <c r="M23" s="65"/>
      <c r="N23" s="65">
        <v>8.7</v>
      </c>
      <c r="O23" s="66">
        <v>9.2</v>
      </c>
      <c r="P23" s="69" t="s">
        <v>129</v>
      </c>
      <c r="Q23" s="70">
        <v>18</v>
      </c>
      <c r="R23" s="67">
        <v>5.9</v>
      </c>
      <c r="S23" s="67">
        <v>91.3</v>
      </c>
      <c r="T23" s="67">
        <v>0</v>
      </c>
      <c r="U23" s="67"/>
      <c r="V23" s="71">
        <v>1</v>
      </c>
      <c r="W23" s="64">
        <v>1011.7</v>
      </c>
      <c r="X23" s="121">
        <f t="shared" si="2"/>
        <v>1022.2642134361763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9.41200153393066</v>
      </c>
      <c r="AI23">
        <f t="shared" si="5"/>
        <v>7.683414621449662</v>
      </c>
      <c r="AJ23">
        <f t="shared" si="6"/>
        <v>5.366314621449662</v>
      </c>
      <c r="AK23">
        <f t="shared" si="12"/>
        <v>-1.7648530216640002</v>
      </c>
      <c r="AU23">
        <f t="shared" si="13"/>
        <v>10.408383605791256</v>
      </c>
    </row>
    <row r="24" spans="1:47" ht="12.75">
      <c r="A24" s="72">
        <v>16</v>
      </c>
      <c r="B24" s="73">
        <v>6.2</v>
      </c>
      <c r="C24" s="74">
        <v>4.7</v>
      </c>
      <c r="D24" s="74">
        <v>12.6</v>
      </c>
      <c r="E24" s="74">
        <v>-2.9</v>
      </c>
      <c r="F24" s="75">
        <f t="shared" si="0"/>
        <v>4.85</v>
      </c>
      <c r="G24" s="67">
        <f t="shared" si="7"/>
        <v>77.4520889278983</v>
      </c>
      <c r="H24" s="76">
        <f t="shared" si="1"/>
        <v>2.556650821876775</v>
      </c>
      <c r="I24" s="77">
        <v>-6.2</v>
      </c>
      <c r="J24" s="75"/>
      <c r="K24" s="77"/>
      <c r="L24" s="74">
        <v>6.5</v>
      </c>
      <c r="M24" s="74"/>
      <c r="N24" s="74">
        <v>8.4</v>
      </c>
      <c r="O24" s="75">
        <v>9.1</v>
      </c>
      <c r="P24" s="78" t="s">
        <v>112</v>
      </c>
      <c r="Q24" s="79">
        <v>19</v>
      </c>
      <c r="R24" s="76">
        <v>4.9</v>
      </c>
      <c r="S24" s="76">
        <v>95</v>
      </c>
      <c r="T24" s="76">
        <v>1.4</v>
      </c>
      <c r="U24" s="76"/>
      <c r="V24" s="80">
        <v>3</v>
      </c>
      <c r="W24" s="73">
        <v>1016</v>
      </c>
      <c r="X24" s="121">
        <f t="shared" si="2"/>
        <v>1026.6052933090257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16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9.477279648605764</v>
      </c>
      <c r="AI24">
        <f t="shared" si="5"/>
        <v>8.538851061383744</v>
      </c>
      <c r="AJ24">
        <f t="shared" si="6"/>
        <v>7.3403510613837435</v>
      </c>
      <c r="AK24">
        <f t="shared" si="12"/>
        <v>2.556650821876775</v>
      </c>
      <c r="AU24">
        <f t="shared" si="13"/>
        <v>10.35724470336843</v>
      </c>
    </row>
    <row r="25" spans="1:47" ht="12.75">
      <c r="A25" s="63">
        <v>17</v>
      </c>
      <c r="B25" s="64">
        <v>9.4</v>
      </c>
      <c r="C25" s="65">
        <v>7.9</v>
      </c>
      <c r="D25" s="65">
        <v>13.2</v>
      </c>
      <c r="E25" s="65">
        <v>4.7</v>
      </c>
      <c r="F25" s="66">
        <f t="shared" si="0"/>
        <v>8.95</v>
      </c>
      <c r="G25" s="67">
        <f t="shared" si="7"/>
        <v>80.17306174353287</v>
      </c>
      <c r="H25" s="67">
        <f t="shared" si="1"/>
        <v>6.160245685838147</v>
      </c>
      <c r="I25" s="68">
        <v>3.7</v>
      </c>
      <c r="J25" s="66"/>
      <c r="K25" s="68"/>
      <c r="L25" s="65">
        <v>7.8</v>
      </c>
      <c r="M25" s="65"/>
      <c r="N25" s="65">
        <v>8.6</v>
      </c>
      <c r="O25" s="66">
        <v>9.1</v>
      </c>
      <c r="P25" s="69" t="s">
        <v>130</v>
      </c>
      <c r="Q25" s="70">
        <v>34</v>
      </c>
      <c r="R25" s="67">
        <v>6.2</v>
      </c>
      <c r="S25" s="67">
        <v>97</v>
      </c>
      <c r="T25" s="67">
        <v>4.5</v>
      </c>
      <c r="U25" s="67"/>
      <c r="V25" s="71">
        <v>8</v>
      </c>
      <c r="W25" s="64">
        <v>987.8</v>
      </c>
      <c r="X25" s="121">
        <f t="shared" si="2"/>
        <v>997.9934552201354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11.78859945679543</v>
      </c>
      <c r="AI25">
        <f t="shared" si="5"/>
        <v>10.649781121194382</v>
      </c>
      <c r="AJ25">
        <f t="shared" si="6"/>
        <v>9.45128112119438</v>
      </c>
      <c r="AK25">
        <f t="shared" si="12"/>
        <v>6.160245685838147</v>
      </c>
      <c r="AU25">
        <f t="shared" si="13"/>
        <v>10.143922460188628</v>
      </c>
    </row>
    <row r="26" spans="1:47" ht="12.75">
      <c r="A26" s="72">
        <v>18</v>
      </c>
      <c r="B26" s="73">
        <v>6.2</v>
      </c>
      <c r="C26" s="74">
        <v>5.4</v>
      </c>
      <c r="D26" s="74">
        <v>10.3</v>
      </c>
      <c r="E26" s="74">
        <v>3.9</v>
      </c>
      <c r="F26" s="75">
        <f t="shared" si="0"/>
        <v>7.1000000000000005</v>
      </c>
      <c r="G26" s="67">
        <f t="shared" si="7"/>
        <v>87.86120666476572</v>
      </c>
      <c r="H26" s="76">
        <f t="shared" si="1"/>
        <v>4.341073851238808</v>
      </c>
      <c r="I26" s="77">
        <v>1.5</v>
      </c>
      <c r="J26" s="75"/>
      <c r="K26" s="77"/>
      <c r="L26" s="74">
        <v>7.9</v>
      </c>
      <c r="M26" s="74"/>
      <c r="N26" s="74">
        <v>8.8</v>
      </c>
      <c r="O26" s="75">
        <v>9.1</v>
      </c>
      <c r="P26" s="78" t="s">
        <v>131</v>
      </c>
      <c r="Q26" s="79">
        <v>32</v>
      </c>
      <c r="R26" s="76">
        <v>1.2</v>
      </c>
      <c r="S26" s="76">
        <v>50</v>
      </c>
      <c r="T26" s="76">
        <v>16.1</v>
      </c>
      <c r="U26" s="76"/>
      <c r="V26" s="80">
        <v>8</v>
      </c>
      <c r="W26" s="73">
        <v>969.9</v>
      </c>
      <c r="X26" s="121">
        <f t="shared" si="2"/>
        <v>980.0240885634095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18</v>
      </c>
      <c r="AF26">
        <f t="shared" si="4"/>
        <v>0</v>
      </c>
      <c r="AH26">
        <f t="shared" si="11"/>
        <v>9.477279648605764</v>
      </c>
      <c r="AI26">
        <f t="shared" si="5"/>
        <v>8.966052258259293</v>
      </c>
      <c r="AJ26">
        <f t="shared" si="6"/>
        <v>8.326852258259292</v>
      </c>
      <c r="AK26">
        <f t="shared" si="12"/>
        <v>4.341073851238808</v>
      </c>
      <c r="AU26">
        <f t="shared" si="13"/>
        <v>10.166787088610734</v>
      </c>
    </row>
    <row r="27" spans="1:47" ht="12.75">
      <c r="A27" s="63">
        <v>19</v>
      </c>
      <c r="B27" s="64">
        <v>7.3</v>
      </c>
      <c r="C27" s="65">
        <v>6.9</v>
      </c>
      <c r="D27" s="65">
        <v>10.6</v>
      </c>
      <c r="E27" s="65">
        <v>6.1</v>
      </c>
      <c r="F27" s="66">
        <f t="shared" si="0"/>
        <v>8.35</v>
      </c>
      <c r="G27" s="67">
        <f t="shared" si="7"/>
        <v>94.1673680043423</v>
      </c>
      <c r="H27" s="67">
        <f t="shared" si="1"/>
        <v>6.4254485980722205</v>
      </c>
      <c r="I27" s="68">
        <v>4.6</v>
      </c>
      <c r="J27" s="66"/>
      <c r="K27" s="68"/>
      <c r="L27" s="65">
        <v>8.7</v>
      </c>
      <c r="M27" s="65"/>
      <c r="N27" s="65">
        <v>8.9</v>
      </c>
      <c r="O27" s="66">
        <v>9.1</v>
      </c>
      <c r="P27" s="69" t="s">
        <v>139</v>
      </c>
      <c r="Q27" s="70">
        <v>17</v>
      </c>
      <c r="R27" s="67">
        <v>1.7</v>
      </c>
      <c r="S27" s="67">
        <v>82.9</v>
      </c>
      <c r="T27" s="67">
        <v>5.7</v>
      </c>
      <c r="U27" s="67"/>
      <c r="V27" s="71">
        <v>8</v>
      </c>
      <c r="W27" s="64">
        <v>973.8</v>
      </c>
      <c r="X27" s="121">
        <f t="shared" si="2"/>
        <v>983.9246870407293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10.22213458915475</v>
      </c>
      <c r="AI27">
        <f t="shared" si="5"/>
        <v>9.945515096468517</v>
      </c>
      <c r="AJ27">
        <f t="shared" si="6"/>
        <v>9.625915096468518</v>
      </c>
      <c r="AK27">
        <f t="shared" si="12"/>
        <v>6.4254485980722205</v>
      </c>
      <c r="AU27">
        <f t="shared" si="13"/>
        <v>10.191958532159678</v>
      </c>
    </row>
    <row r="28" spans="1:47" ht="12.75">
      <c r="A28" s="72">
        <v>20</v>
      </c>
      <c r="B28" s="73">
        <v>9.5</v>
      </c>
      <c r="C28" s="74">
        <v>8</v>
      </c>
      <c r="D28" s="74">
        <v>12.2</v>
      </c>
      <c r="E28" s="74">
        <v>2.2</v>
      </c>
      <c r="F28" s="75">
        <f t="shared" si="0"/>
        <v>7.199999999999999</v>
      </c>
      <c r="G28" s="67">
        <f t="shared" si="7"/>
        <v>80.24865405463586</v>
      </c>
      <c r="H28" s="76">
        <f t="shared" si="1"/>
        <v>6.271301596450963</v>
      </c>
      <c r="I28" s="77">
        <v>-0.8</v>
      </c>
      <c r="J28" s="75"/>
      <c r="K28" s="77"/>
      <c r="L28" s="74">
        <v>7.8</v>
      </c>
      <c r="M28" s="74"/>
      <c r="N28" s="74">
        <v>8.9</v>
      </c>
      <c r="O28" s="75">
        <v>9.1</v>
      </c>
      <c r="P28" s="78" t="s">
        <v>112</v>
      </c>
      <c r="Q28" s="79">
        <v>24</v>
      </c>
      <c r="R28" s="76">
        <v>7</v>
      </c>
      <c r="S28" s="76">
        <v>91.1</v>
      </c>
      <c r="T28" s="76">
        <v>2.7</v>
      </c>
      <c r="U28" s="76"/>
      <c r="V28" s="80">
        <v>1</v>
      </c>
      <c r="W28" s="73">
        <v>982.3</v>
      </c>
      <c r="X28" s="121">
        <f t="shared" si="2"/>
        <v>992.4330909031827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11.868195956166188</v>
      </c>
      <c r="AI28">
        <f t="shared" si="5"/>
        <v>10.722567515390086</v>
      </c>
      <c r="AJ28">
        <f t="shared" si="6"/>
        <v>9.524067515390087</v>
      </c>
      <c r="AK28">
        <f t="shared" si="12"/>
        <v>6.271301596450963</v>
      </c>
      <c r="AU28">
        <f t="shared" si="13"/>
        <v>10.275822582144732</v>
      </c>
    </row>
    <row r="29" spans="1:47" ht="12.75">
      <c r="A29" s="63">
        <v>21</v>
      </c>
      <c r="B29" s="64">
        <v>6.2</v>
      </c>
      <c r="C29" s="65">
        <v>5.6</v>
      </c>
      <c r="D29" s="65">
        <v>12.8</v>
      </c>
      <c r="E29" s="65">
        <v>1.6</v>
      </c>
      <c r="F29" s="66">
        <f t="shared" si="0"/>
        <v>7.2</v>
      </c>
      <c r="G29" s="67">
        <f t="shared" si="7"/>
        <v>90.87125545097614</v>
      </c>
      <c r="H29" s="67">
        <f t="shared" si="1"/>
        <v>4.822225739418393</v>
      </c>
      <c r="I29" s="68">
        <v>-1.1</v>
      </c>
      <c r="J29" s="66"/>
      <c r="K29" s="68"/>
      <c r="L29" s="65">
        <v>8</v>
      </c>
      <c r="M29" s="65"/>
      <c r="N29" s="65">
        <v>8.9</v>
      </c>
      <c r="O29" s="66">
        <v>9.2</v>
      </c>
      <c r="P29" s="69" t="s">
        <v>107</v>
      </c>
      <c r="Q29" s="70">
        <v>28</v>
      </c>
      <c r="R29" s="67">
        <v>5.2</v>
      </c>
      <c r="S29" s="67">
        <v>100</v>
      </c>
      <c r="T29" s="67">
        <v>2.5</v>
      </c>
      <c r="U29" s="67"/>
      <c r="V29" s="71">
        <v>8</v>
      </c>
      <c r="W29" s="64">
        <v>985.9</v>
      </c>
      <c r="X29" s="121">
        <f t="shared" si="2"/>
        <v>996.191101056465</v>
      </c>
      <c r="Y29" s="127">
        <v>1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9.477279648605764</v>
      </c>
      <c r="AI29">
        <f t="shared" si="5"/>
        <v>9.091522999287918</v>
      </c>
      <c r="AJ29">
        <f t="shared" si="6"/>
        <v>8.612122999287918</v>
      </c>
      <c r="AK29">
        <f t="shared" si="12"/>
        <v>4.822225739418393</v>
      </c>
      <c r="AU29">
        <f t="shared" si="13"/>
        <v>10.397571520787919</v>
      </c>
    </row>
    <row r="30" spans="1:47" ht="12.75">
      <c r="A30" s="72">
        <v>22</v>
      </c>
      <c r="B30" s="73">
        <v>9.9</v>
      </c>
      <c r="C30" s="74">
        <v>8</v>
      </c>
      <c r="D30" s="74">
        <v>10.9</v>
      </c>
      <c r="E30" s="74">
        <v>3.4</v>
      </c>
      <c r="F30" s="75">
        <f t="shared" si="0"/>
        <v>7.15</v>
      </c>
      <c r="G30" s="67">
        <f t="shared" si="7"/>
        <v>75.50008807930651</v>
      </c>
      <c r="H30" s="76">
        <f t="shared" si="1"/>
        <v>5.777961405996087</v>
      </c>
      <c r="I30" s="77">
        <v>1.4</v>
      </c>
      <c r="J30" s="75"/>
      <c r="K30" s="77"/>
      <c r="L30" s="74">
        <v>8.4</v>
      </c>
      <c r="M30" s="74"/>
      <c r="N30" s="74">
        <v>9</v>
      </c>
      <c r="O30" s="75">
        <v>9.3</v>
      </c>
      <c r="P30" s="78" t="s">
        <v>140</v>
      </c>
      <c r="Q30" s="79">
        <v>10</v>
      </c>
      <c r="R30" s="76">
        <v>3.9</v>
      </c>
      <c r="S30" s="76">
        <v>88</v>
      </c>
      <c r="T30" s="76">
        <v>4.9</v>
      </c>
      <c r="U30" s="76"/>
      <c r="V30" s="80">
        <v>5</v>
      </c>
      <c r="W30" s="73">
        <v>991.3</v>
      </c>
      <c r="X30" s="121">
        <f t="shared" si="2"/>
        <v>1001.5113941264075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12.191333479931261</v>
      </c>
      <c r="AI30">
        <f t="shared" si="5"/>
        <v>10.722567515390086</v>
      </c>
      <c r="AJ30">
        <f t="shared" si="6"/>
        <v>9.204467515390085</v>
      </c>
      <c r="AK30">
        <f t="shared" si="12"/>
        <v>5.777961405996087</v>
      </c>
      <c r="AU30">
        <f t="shared" si="13"/>
        <v>10.402047206755942</v>
      </c>
    </row>
    <row r="31" spans="1:47" ht="12.75">
      <c r="A31" s="63">
        <v>23</v>
      </c>
      <c r="B31" s="64">
        <v>7.4</v>
      </c>
      <c r="C31" s="65">
        <v>7.2</v>
      </c>
      <c r="D31" s="65">
        <v>14.9</v>
      </c>
      <c r="E31" s="65">
        <v>4.8</v>
      </c>
      <c r="F31" s="66">
        <f t="shared" si="0"/>
        <v>9.85</v>
      </c>
      <c r="G31" s="67">
        <f t="shared" si="7"/>
        <v>97.08726484318834</v>
      </c>
      <c r="H31" s="67">
        <f t="shared" si="1"/>
        <v>6.968702507097594</v>
      </c>
      <c r="I31" s="68">
        <v>1.2</v>
      </c>
      <c r="J31" s="66"/>
      <c r="K31" s="68"/>
      <c r="L31" s="65">
        <v>8.6</v>
      </c>
      <c r="M31" s="65"/>
      <c r="N31" s="65">
        <v>9</v>
      </c>
      <c r="O31" s="66">
        <v>9.2</v>
      </c>
      <c r="P31" s="69" t="s">
        <v>141</v>
      </c>
      <c r="Q31" s="70">
        <v>25</v>
      </c>
      <c r="R31" s="67">
        <v>4</v>
      </c>
      <c r="S31" s="67">
        <v>90</v>
      </c>
      <c r="T31" s="67">
        <v>0.9</v>
      </c>
      <c r="U31" s="67"/>
      <c r="V31" s="71">
        <v>7</v>
      </c>
      <c r="W31" s="64">
        <v>985.9</v>
      </c>
      <c r="X31" s="121">
        <f t="shared" si="2"/>
        <v>996.1468159790036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10.29234011027384</v>
      </c>
      <c r="AI31">
        <f t="shared" si="5"/>
        <v>10.152351501423265</v>
      </c>
      <c r="AJ31">
        <f t="shared" si="6"/>
        <v>9.992551501423264</v>
      </c>
      <c r="AK31">
        <f t="shared" si="12"/>
        <v>6.968702507097594</v>
      </c>
      <c r="AU31">
        <f t="shared" si="13"/>
        <v>10.564213436176281</v>
      </c>
    </row>
    <row r="32" spans="1:47" ht="12.75">
      <c r="A32" s="72">
        <v>24</v>
      </c>
      <c r="B32" s="73">
        <v>8.1</v>
      </c>
      <c r="C32" s="74">
        <v>7</v>
      </c>
      <c r="D32" s="74">
        <v>13.6</v>
      </c>
      <c r="E32" s="74">
        <v>3.1</v>
      </c>
      <c r="F32" s="75">
        <f t="shared" si="0"/>
        <v>8.35</v>
      </c>
      <c r="G32" s="67">
        <f t="shared" si="7"/>
        <v>84.61763660802835</v>
      </c>
      <c r="H32" s="76">
        <f t="shared" si="1"/>
        <v>5.668961397662708</v>
      </c>
      <c r="I32" s="77">
        <v>-1.2</v>
      </c>
      <c r="J32" s="75"/>
      <c r="K32" s="77"/>
      <c r="L32" s="74">
        <v>8.7</v>
      </c>
      <c r="M32" s="74"/>
      <c r="N32" s="74">
        <v>9.3</v>
      </c>
      <c r="O32" s="75">
        <v>9.3</v>
      </c>
      <c r="P32" s="78" t="s">
        <v>142</v>
      </c>
      <c r="Q32" s="79">
        <v>14</v>
      </c>
      <c r="R32" s="76">
        <v>6.2</v>
      </c>
      <c r="S32" s="76">
        <v>99.2</v>
      </c>
      <c r="T32" s="76">
        <v>5.7</v>
      </c>
      <c r="U32" s="76"/>
      <c r="V32" s="80">
        <v>8</v>
      </c>
      <c r="W32" s="73">
        <v>989.6</v>
      </c>
      <c r="X32" s="121">
        <f t="shared" si="2"/>
        <v>999.8595177376147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10.795791854163713</v>
      </c>
      <c r="AI32">
        <f t="shared" si="5"/>
        <v>10.014043920115377</v>
      </c>
      <c r="AJ32">
        <f t="shared" si="6"/>
        <v>9.135143920115377</v>
      </c>
      <c r="AK32">
        <f t="shared" si="12"/>
        <v>5.668961397662708</v>
      </c>
      <c r="AU32">
        <f t="shared" si="13"/>
        <v>10.605293309025726</v>
      </c>
    </row>
    <row r="33" spans="1:47" ht="12.75">
      <c r="A33" s="63">
        <v>25</v>
      </c>
      <c r="B33" s="64">
        <v>6.2</v>
      </c>
      <c r="C33" s="65">
        <v>6</v>
      </c>
      <c r="D33" s="65">
        <v>11.7</v>
      </c>
      <c r="E33" s="65">
        <v>4.1</v>
      </c>
      <c r="F33" s="66">
        <f t="shared" si="0"/>
        <v>7.8999999999999995</v>
      </c>
      <c r="G33" s="67">
        <f t="shared" si="7"/>
        <v>96.94047920506509</v>
      </c>
      <c r="H33" s="67">
        <f t="shared" si="1"/>
        <v>5.751067812508444</v>
      </c>
      <c r="I33" s="68">
        <v>0</v>
      </c>
      <c r="J33" s="66"/>
      <c r="K33" s="68"/>
      <c r="L33" s="65">
        <v>8.9</v>
      </c>
      <c r="M33" s="65"/>
      <c r="N33" s="65">
        <v>9.4</v>
      </c>
      <c r="O33" s="66">
        <v>9.4</v>
      </c>
      <c r="P33" s="69" t="s">
        <v>143</v>
      </c>
      <c r="Q33" s="70">
        <v>41</v>
      </c>
      <c r="R33" s="67">
        <v>1.3</v>
      </c>
      <c r="S33" s="67">
        <v>91</v>
      </c>
      <c r="T33" s="67">
        <v>12.7</v>
      </c>
      <c r="U33" s="67"/>
      <c r="V33" s="71">
        <v>8</v>
      </c>
      <c r="W33" s="64">
        <v>976.4</v>
      </c>
      <c r="X33" s="121">
        <f t="shared" si="2"/>
        <v>986.5919373887133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9.477279648605764</v>
      </c>
      <c r="AI33">
        <f t="shared" si="5"/>
        <v>9.347120306962537</v>
      </c>
      <c r="AJ33">
        <f t="shared" si="6"/>
        <v>9.187320306962537</v>
      </c>
      <c r="AK33">
        <f t="shared" si="12"/>
        <v>5.751067812508444</v>
      </c>
      <c r="AU33">
        <f t="shared" si="13"/>
        <v>10.193455220135487</v>
      </c>
    </row>
    <row r="34" spans="1:47" ht="12.75">
      <c r="A34" s="72">
        <v>26</v>
      </c>
      <c r="B34" s="73">
        <v>9.9</v>
      </c>
      <c r="C34" s="74">
        <v>8.9</v>
      </c>
      <c r="D34" s="74">
        <v>13.5</v>
      </c>
      <c r="E34" s="74">
        <v>5.5</v>
      </c>
      <c r="F34" s="75">
        <f t="shared" si="0"/>
        <v>9.5</v>
      </c>
      <c r="G34" s="67">
        <f t="shared" si="7"/>
        <v>86.93573164825314</v>
      </c>
      <c r="H34" s="76">
        <f t="shared" si="1"/>
        <v>7.829356425642503</v>
      </c>
      <c r="I34" s="77">
        <v>6.1</v>
      </c>
      <c r="J34" s="75"/>
      <c r="K34" s="77"/>
      <c r="L34" s="74">
        <v>9.8</v>
      </c>
      <c r="M34" s="74"/>
      <c r="N34" s="74">
        <v>9.3</v>
      </c>
      <c r="O34" s="75">
        <v>9.5</v>
      </c>
      <c r="P34" s="78" t="s">
        <v>113</v>
      </c>
      <c r="Q34" s="79">
        <v>23</v>
      </c>
      <c r="R34" s="76">
        <v>4.3</v>
      </c>
      <c r="S34" s="76">
        <v>104</v>
      </c>
      <c r="T34" s="76">
        <v>2.1</v>
      </c>
      <c r="U34" s="76"/>
      <c r="V34" s="80">
        <v>6</v>
      </c>
      <c r="W34" s="73">
        <v>978.6</v>
      </c>
      <c r="X34" s="121">
        <f t="shared" si="2"/>
        <v>988.6805712620826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12.191333479931261</v>
      </c>
      <c r="AI34">
        <f t="shared" si="5"/>
        <v>11.397624958456682</v>
      </c>
      <c r="AJ34">
        <f t="shared" si="6"/>
        <v>10.598624958456682</v>
      </c>
      <c r="AK34">
        <f t="shared" si="12"/>
        <v>7.829356425642503</v>
      </c>
      <c r="AU34">
        <f t="shared" si="13"/>
        <v>10.124088563409499</v>
      </c>
    </row>
    <row r="35" spans="1:47" ht="12.75">
      <c r="A35" s="63">
        <v>27</v>
      </c>
      <c r="B35" s="64">
        <v>7.1</v>
      </c>
      <c r="C35" s="65">
        <v>6.9</v>
      </c>
      <c r="D35" s="65">
        <v>7.9</v>
      </c>
      <c r="E35" s="65">
        <v>6.3</v>
      </c>
      <c r="F35" s="66">
        <f t="shared" si="0"/>
        <v>7.1</v>
      </c>
      <c r="G35" s="67">
        <f t="shared" si="7"/>
        <v>97.05173156895565</v>
      </c>
      <c r="H35" s="67">
        <f t="shared" si="1"/>
        <v>6.664432570887687</v>
      </c>
      <c r="I35" s="68">
        <v>6.1</v>
      </c>
      <c r="J35" s="66"/>
      <c r="K35" s="68"/>
      <c r="L35" s="65">
        <v>9.9</v>
      </c>
      <c r="M35" s="65"/>
      <c r="N35" s="65">
        <v>9.6</v>
      </c>
      <c r="O35" s="66">
        <v>9.6</v>
      </c>
      <c r="P35" s="69" t="s">
        <v>145</v>
      </c>
      <c r="Q35" s="70">
        <v>22</v>
      </c>
      <c r="R35" s="67">
        <v>0</v>
      </c>
      <c r="S35" s="67">
        <v>20</v>
      </c>
      <c r="T35" s="67">
        <v>3</v>
      </c>
      <c r="U35" s="67"/>
      <c r="V35" s="71">
        <v>8</v>
      </c>
      <c r="W35" s="64">
        <v>1000.3</v>
      </c>
      <c r="X35" s="121">
        <f t="shared" si="2"/>
        <v>1010.7076770807399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10.082988668281233</v>
      </c>
      <c r="AI35">
        <f t="shared" si="5"/>
        <v>9.945515096468517</v>
      </c>
      <c r="AJ35">
        <f t="shared" si="6"/>
        <v>9.785715096468518</v>
      </c>
      <c r="AK35">
        <f t="shared" si="12"/>
        <v>6.664432570887687</v>
      </c>
      <c r="AU35">
        <f t="shared" si="13"/>
        <v>10.124687040729372</v>
      </c>
    </row>
    <row r="36" spans="1:47" ht="12.75">
      <c r="A36" s="72">
        <v>28</v>
      </c>
      <c r="B36" s="73">
        <v>7.4</v>
      </c>
      <c r="C36" s="74">
        <v>6.1</v>
      </c>
      <c r="D36" s="74">
        <v>9.5</v>
      </c>
      <c r="E36" s="74">
        <v>5.5</v>
      </c>
      <c r="F36" s="75">
        <f t="shared" si="0"/>
        <v>7.5</v>
      </c>
      <c r="G36" s="67">
        <f t="shared" si="7"/>
        <v>81.35469139396598</v>
      </c>
      <c r="H36" s="76">
        <f t="shared" si="1"/>
        <v>4.420399623581122</v>
      </c>
      <c r="I36" s="77">
        <v>5.1</v>
      </c>
      <c r="J36" s="75"/>
      <c r="K36" s="77"/>
      <c r="L36" s="74">
        <v>8.8</v>
      </c>
      <c r="M36" s="74"/>
      <c r="N36" s="74">
        <v>9.4</v>
      </c>
      <c r="O36" s="75">
        <v>9.6</v>
      </c>
      <c r="P36" s="78" t="s">
        <v>144</v>
      </c>
      <c r="Q36" s="79">
        <v>30</v>
      </c>
      <c r="R36" s="76">
        <v>2</v>
      </c>
      <c r="S36" s="76">
        <v>49.6</v>
      </c>
      <c r="T36" s="76">
        <v>6</v>
      </c>
      <c r="U36" s="76"/>
      <c r="V36" s="80">
        <v>8</v>
      </c>
      <c r="W36" s="73">
        <v>1009.4</v>
      </c>
      <c r="X36" s="121">
        <f t="shared" si="2"/>
        <v>1019.8910599951377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10.29234011027384</v>
      </c>
      <c r="AI36">
        <f t="shared" si="5"/>
        <v>9.41200153393066</v>
      </c>
      <c r="AJ36">
        <f t="shared" si="6"/>
        <v>8.37330153393066</v>
      </c>
      <c r="AK36">
        <f t="shared" si="12"/>
        <v>4.420399623581122</v>
      </c>
      <c r="AU36">
        <f t="shared" si="13"/>
        <v>10.13309090318278</v>
      </c>
    </row>
    <row r="37" spans="1:47" ht="12.75">
      <c r="A37" s="63">
        <v>29</v>
      </c>
      <c r="B37" s="64">
        <v>4.7</v>
      </c>
      <c r="C37" s="65">
        <v>4.3</v>
      </c>
      <c r="D37" s="65">
        <v>12.8</v>
      </c>
      <c r="E37" s="65">
        <v>4.1</v>
      </c>
      <c r="F37" s="66">
        <f t="shared" si="0"/>
        <v>8.45</v>
      </c>
      <c r="G37" s="67">
        <f t="shared" si="7"/>
        <v>93.49373676412904</v>
      </c>
      <c r="H37" s="67">
        <f t="shared" si="1"/>
        <v>3.741899481024234</v>
      </c>
      <c r="I37" s="68">
        <v>3.9</v>
      </c>
      <c r="J37" s="66"/>
      <c r="K37" s="68"/>
      <c r="L37" s="65">
        <v>7.2</v>
      </c>
      <c r="M37" s="65"/>
      <c r="N37" s="65">
        <v>9.1</v>
      </c>
      <c r="O37" s="66">
        <v>9.6</v>
      </c>
      <c r="P37" s="69" t="s">
        <v>146</v>
      </c>
      <c r="Q37" s="70">
        <v>40</v>
      </c>
      <c r="R37" s="67">
        <v>0</v>
      </c>
      <c r="S37" s="67">
        <v>15</v>
      </c>
      <c r="T37" s="67">
        <v>5</v>
      </c>
      <c r="U37" s="67"/>
      <c r="V37" s="71">
        <v>8</v>
      </c>
      <c r="W37" s="64">
        <v>998.7</v>
      </c>
      <c r="X37" s="121">
        <f t="shared" si="2"/>
        <v>1009.181334330679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8.538851061383744</v>
      </c>
      <c r="AI37">
        <f t="shared" si="5"/>
        <v>8.302890934011156</v>
      </c>
      <c r="AJ37">
        <f t="shared" si="6"/>
        <v>7.983290934011156</v>
      </c>
      <c r="AK37">
        <f t="shared" si="12"/>
        <v>3.741899481024234</v>
      </c>
      <c r="AU37">
        <f t="shared" si="13"/>
        <v>10.291101056465022</v>
      </c>
    </row>
    <row r="38" spans="1:47" ht="12.75">
      <c r="A38" s="72">
        <v>30</v>
      </c>
      <c r="B38" s="73">
        <v>12.8</v>
      </c>
      <c r="C38" s="74">
        <v>10.4</v>
      </c>
      <c r="D38" s="74">
        <v>19.2</v>
      </c>
      <c r="E38" s="74">
        <v>4.5</v>
      </c>
      <c r="F38" s="75">
        <f t="shared" si="0"/>
        <v>11.85</v>
      </c>
      <c r="G38" s="67">
        <f t="shared" si="7"/>
        <v>72.3424225929837</v>
      </c>
      <c r="H38" s="76">
        <f t="shared" si="1"/>
        <v>7.953308429859664</v>
      </c>
      <c r="I38" s="77">
        <v>0.2</v>
      </c>
      <c r="J38" s="75"/>
      <c r="K38" s="77"/>
      <c r="L38" s="74">
        <v>8.8</v>
      </c>
      <c r="M38" s="74"/>
      <c r="N38" s="74">
        <v>8.7</v>
      </c>
      <c r="O38" s="75">
        <v>9.4</v>
      </c>
      <c r="P38" s="78" t="s">
        <v>158</v>
      </c>
      <c r="Q38" s="79">
        <v>34</v>
      </c>
      <c r="R38" s="76">
        <v>8.5</v>
      </c>
      <c r="S38" s="76">
        <v>98</v>
      </c>
      <c r="T38" s="76">
        <v>4.6</v>
      </c>
      <c r="U38" s="76"/>
      <c r="V38" s="80">
        <v>1</v>
      </c>
      <c r="W38" s="73">
        <v>1003.6</v>
      </c>
      <c r="X38" s="121">
        <f t="shared" si="2"/>
        <v>1013.832627911635</v>
      </c>
      <c r="Y38" s="127">
        <v>0</v>
      </c>
      <c r="Z38" s="134">
        <v>0</v>
      </c>
      <c r="AA38" s="127">
        <v>0</v>
      </c>
      <c r="AB38">
        <f t="shared" si="8"/>
        <v>30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14.77491028826301</v>
      </c>
      <c r="AI38">
        <f t="shared" si="5"/>
        <v>12.606128038469452</v>
      </c>
      <c r="AJ38">
        <f t="shared" si="6"/>
        <v>10.688528038469451</v>
      </c>
      <c r="AK38">
        <f t="shared" si="12"/>
        <v>7.953308429859664</v>
      </c>
      <c r="AU38">
        <f t="shared" si="13"/>
        <v>10.211394126407574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10.246815979003602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10.259517737614711</v>
      </c>
    </row>
    <row r="41" spans="1:47" ht="13.5" thickBot="1">
      <c r="A41" s="113" t="s">
        <v>19</v>
      </c>
      <c r="B41" s="114">
        <f>SUM(B9:B39)</f>
        <v>221.70000000000002</v>
      </c>
      <c r="C41" s="115">
        <f aca="true" t="shared" si="14" ref="C41:V41">SUM(C9:C39)</f>
        <v>188.90000000000003</v>
      </c>
      <c r="D41" s="115">
        <f t="shared" si="14"/>
        <v>357.29999999999995</v>
      </c>
      <c r="E41" s="115">
        <f t="shared" si="14"/>
        <v>87</v>
      </c>
      <c r="F41" s="116">
        <f t="shared" si="14"/>
        <v>222.14999999999995</v>
      </c>
      <c r="G41" s="117">
        <f t="shared" si="14"/>
        <v>2538.318209847423</v>
      </c>
      <c r="H41" s="117">
        <f>SUM(H9:H39)</f>
        <v>146.5768950557936</v>
      </c>
      <c r="I41" s="118">
        <f t="shared" si="14"/>
        <v>21.799999999999994</v>
      </c>
      <c r="J41" s="116">
        <f t="shared" si="14"/>
        <v>0</v>
      </c>
      <c r="K41" s="118">
        <f t="shared" si="14"/>
        <v>0</v>
      </c>
      <c r="L41" s="115">
        <f t="shared" si="14"/>
        <v>232.3</v>
      </c>
      <c r="M41" s="115">
        <f t="shared" si="14"/>
        <v>0</v>
      </c>
      <c r="N41" s="115">
        <f t="shared" si="14"/>
        <v>266.80000000000007</v>
      </c>
      <c r="O41" s="116">
        <f t="shared" si="14"/>
        <v>276.4</v>
      </c>
      <c r="P41" s="114"/>
      <c r="Q41" s="119">
        <f t="shared" si="14"/>
        <v>699</v>
      </c>
      <c r="R41" s="117">
        <f t="shared" si="14"/>
        <v>117.60000000000001</v>
      </c>
      <c r="S41" s="117"/>
      <c r="T41" s="117">
        <f>SUM(T9:T39)</f>
        <v>102.1</v>
      </c>
      <c r="U41" s="139"/>
      <c r="V41" s="119">
        <f t="shared" si="14"/>
        <v>174</v>
      </c>
      <c r="W41" s="117">
        <f>SUM(W9:W39)</f>
        <v>29830.200000000004</v>
      </c>
      <c r="X41" s="123">
        <f>SUM(X9:X39)</f>
        <v>30140.27718200231</v>
      </c>
      <c r="Y41" s="117">
        <f>SUM(Y9:Y39)</f>
        <v>1</v>
      </c>
      <c r="Z41" s="123">
        <f>SUM(Z9:Z39)</f>
        <v>0</v>
      </c>
      <c r="AA41" s="138">
        <f>SUM(AA9:AA39)</f>
        <v>0</v>
      </c>
      <c r="AB41">
        <f>MAX(AB9:AB39)</f>
        <v>30</v>
      </c>
      <c r="AC41">
        <f>MAX(AC9:AC39)</f>
        <v>16</v>
      </c>
      <c r="AD41">
        <f>MAX(AD9:AD39)</f>
        <v>6</v>
      </c>
      <c r="AE41">
        <f>MAX(AE9:AE39)</f>
        <v>18</v>
      </c>
      <c r="AF41">
        <f>MAX(AF9:AF39)</f>
        <v>1</v>
      </c>
      <c r="AU41">
        <f t="shared" si="13"/>
        <v>10.191937388713304</v>
      </c>
    </row>
    <row r="42" spans="1:47" ht="12.75">
      <c r="A42" s="72" t="s">
        <v>20</v>
      </c>
      <c r="B42" s="73">
        <f>AVERAGE(B9:B39)</f>
        <v>7.390000000000001</v>
      </c>
      <c r="C42" s="74">
        <f aca="true" t="shared" si="15" ref="C42:V42">AVERAGE(C9:C39)</f>
        <v>6.296666666666668</v>
      </c>
      <c r="D42" s="74">
        <f t="shared" si="15"/>
        <v>11.909999999999998</v>
      </c>
      <c r="E42" s="74">
        <f t="shared" si="15"/>
        <v>2.9</v>
      </c>
      <c r="F42" s="75">
        <f t="shared" si="15"/>
        <v>7.4049999999999985</v>
      </c>
      <c r="G42" s="76">
        <f t="shared" si="15"/>
        <v>84.61060699491411</v>
      </c>
      <c r="H42" s="76">
        <f>AVERAGE(H9:H39)</f>
        <v>4.885896501859787</v>
      </c>
      <c r="I42" s="77">
        <f t="shared" si="15"/>
        <v>0.7266666666666665</v>
      </c>
      <c r="J42" s="75" t="e">
        <f t="shared" si="15"/>
        <v>#DIV/0!</v>
      </c>
      <c r="K42" s="77" t="e">
        <f t="shared" si="15"/>
        <v>#DIV/0!</v>
      </c>
      <c r="L42" s="74">
        <f t="shared" si="15"/>
        <v>7.743333333333334</v>
      </c>
      <c r="M42" s="74" t="e">
        <f t="shared" si="15"/>
        <v>#DIV/0!</v>
      </c>
      <c r="N42" s="74">
        <f t="shared" si="15"/>
        <v>8.893333333333336</v>
      </c>
      <c r="O42" s="75">
        <f t="shared" si="15"/>
        <v>9.213333333333333</v>
      </c>
      <c r="P42" s="73"/>
      <c r="Q42" s="75">
        <f t="shared" si="15"/>
        <v>23.3</v>
      </c>
      <c r="R42" s="76">
        <f t="shared" si="15"/>
        <v>3.9200000000000004</v>
      </c>
      <c r="S42" s="76"/>
      <c r="T42" s="76">
        <f>AVERAGE(T9:T39)</f>
        <v>3.5206896551724136</v>
      </c>
      <c r="U42" s="76"/>
      <c r="V42" s="76">
        <f t="shared" si="15"/>
        <v>5.8</v>
      </c>
      <c r="W42" s="76">
        <f>AVERAGE(W9:W39)</f>
        <v>994.3400000000001</v>
      </c>
      <c r="X42" s="124">
        <f>AVERAGE(X9:X39)</f>
        <v>1004.6759060667438</v>
      </c>
      <c r="Y42" s="127"/>
      <c r="Z42" s="134"/>
      <c r="AA42" s="130"/>
      <c r="AU42">
        <f t="shared" si="13"/>
        <v>10.080571262082572</v>
      </c>
    </row>
    <row r="43" spans="1:47" ht="12.75">
      <c r="A43" s="72" t="s">
        <v>21</v>
      </c>
      <c r="B43" s="73">
        <f>MAX(B9:B39)</f>
        <v>12.8</v>
      </c>
      <c r="C43" s="74">
        <f aca="true" t="shared" si="16" ref="C43:V43">MAX(C9:C39)</f>
        <v>10.4</v>
      </c>
      <c r="D43" s="74">
        <f t="shared" si="16"/>
        <v>19.2</v>
      </c>
      <c r="E43" s="74">
        <f t="shared" si="16"/>
        <v>7.7</v>
      </c>
      <c r="F43" s="75">
        <f t="shared" si="16"/>
        <v>11.85</v>
      </c>
      <c r="G43" s="76">
        <f t="shared" si="16"/>
        <v>98.06420759798559</v>
      </c>
      <c r="H43" s="76">
        <f>MAX(H9:H39)</f>
        <v>8.366810900774896</v>
      </c>
      <c r="I43" s="77">
        <f t="shared" si="16"/>
        <v>6.9</v>
      </c>
      <c r="J43" s="75">
        <f t="shared" si="16"/>
        <v>0</v>
      </c>
      <c r="K43" s="77">
        <f t="shared" si="16"/>
        <v>0</v>
      </c>
      <c r="L43" s="74">
        <f t="shared" si="16"/>
        <v>10</v>
      </c>
      <c r="M43" s="74">
        <f t="shared" si="16"/>
        <v>0</v>
      </c>
      <c r="N43" s="74">
        <f t="shared" si="16"/>
        <v>9.6</v>
      </c>
      <c r="O43" s="75">
        <f t="shared" si="16"/>
        <v>9.6</v>
      </c>
      <c r="P43" s="73"/>
      <c r="Q43" s="70">
        <f t="shared" si="16"/>
        <v>41</v>
      </c>
      <c r="R43" s="76">
        <f t="shared" si="16"/>
        <v>9.6</v>
      </c>
      <c r="S43" s="76"/>
      <c r="T43" s="76">
        <f>MAX(T9:T39)</f>
        <v>16.1</v>
      </c>
      <c r="U43" s="140"/>
      <c r="V43" s="70">
        <f t="shared" si="16"/>
        <v>8</v>
      </c>
      <c r="W43" s="76">
        <f>MAX(W9:W39)</f>
        <v>1016</v>
      </c>
      <c r="X43" s="124">
        <f>MAX(X9:X39)</f>
        <v>1026.6052933090257</v>
      </c>
      <c r="Y43" s="127"/>
      <c r="Z43" s="134"/>
      <c r="AA43" s="127"/>
      <c r="AU43">
        <f t="shared" si="13"/>
        <v>10.407677080739973</v>
      </c>
    </row>
    <row r="44" spans="1:47" ht="13.5" thickBot="1">
      <c r="A44" s="81" t="s">
        <v>22</v>
      </c>
      <c r="B44" s="82">
        <f>MIN(B9:B39)</f>
        <v>1</v>
      </c>
      <c r="C44" s="83">
        <f aca="true" t="shared" si="17" ref="C44:V44">MIN(C9:C39)</f>
        <v>0.9</v>
      </c>
      <c r="D44" s="83">
        <f t="shared" si="17"/>
        <v>4.9</v>
      </c>
      <c r="E44" s="83">
        <f t="shared" si="17"/>
        <v>-2.9</v>
      </c>
      <c r="F44" s="84">
        <f t="shared" si="17"/>
        <v>2.7</v>
      </c>
      <c r="G44" s="85">
        <f t="shared" si="17"/>
        <v>57.0156581690289</v>
      </c>
      <c r="H44" s="85">
        <f>MIN(H9:H39)</f>
        <v>-1.7648530216640002</v>
      </c>
      <c r="I44" s="86">
        <f t="shared" si="17"/>
        <v>-6.5</v>
      </c>
      <c r="J44" s="84">
        <f t="shared" si="17"/>
        <v>0</v>
      </c>
      <c r="K44" s="86">
        <f t="shared" si="17"/>
        <v>0</v>
      </c>
      <c r="L44" s="83">
        <f t="shared" si="17"/>
        <v>1.5</v>
      </c>
      <c r="M44" s="83">
        <f t="shared" si="17"/>
        <v>0</v>
      </c>
      <c r="N44" s="83">
        <f t="shared" si="17"/>
        <v>8.1</v>
      </c>
      <c r="O44" s="84">
        <f t="shared" si="17"/>
        <v>8.9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969.9</v>
      </c>
      <c r="X44" s="125">
        <f>MIN(X9:X39)</f>
        <v>980.0240885634095</v>
      </c>
      <c r="Y44" s="128"/>
      <c r="Z44" s="136"/>
      <c r="AA44" s="128"/>
      <c r="AU44">
        <f t="shared" si="13"/>
        <v>10.491059995137677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10.481334330678925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10.232627911634996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24</v>
      </c>
      <c r="C61">
        <f>DCOUNTA(T8:T38,1,C59:C60)</f>
        <v>21</v>
      </c>
      <c r="D61">
        <f>DCOUNTA(T8:T38,1,D59:D60)</f>
        <v>8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23</v>
      </c>
      <c r="C64">
        <f>(C61-F61)</f>
        <v>20</v>
      </c>
      <c r="D64">
        <f>(D61-F61)</f>
        <v>7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3">
      <selection activeCell="D14" sqref="D1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166</v>
      </c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11.909999999999998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2.9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7.4049999999999985</v>
      </c>
      <c r="D9" s="5">
        <v>-0.8</v>
      </c>
      <c r="E9" s="3"/>
      <c r="F9" s="40">
        <v>1</v>
      </c>
      <c r="G9" s="89" t="s">
        <v>160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19.2</v>
      </c>
      <c r="C10" s="5" t="s">
        <v>32</v>
      </c>
      <c r="D10" s="5">
        <f>Data1!$AB$41</f>
        <v>30</v>
      </c>
      <c r="E10" s="3"/>
      <c r="F10" s="40">
        <v>2</v>
      </c>
      <c r="G10" s="93" t="s">
        <v>120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-2.9</v>
      </c>
      <c r="C11" s="5" t="s">
        <v>32</v>
      </c>
      <c r="D11" s="24">
        <f>Data1!$AC$41</f>
        <v>16</v>
      </c>
      <c r="E11" s="3"/>
      <c r="F11" s="40">
        <v>3</v>
      </c>
      <c r="G11" s="93" t="s">
        <v>119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-6.5</v>
      </c>
      <c r="C12" s="5" t="s">
        <v>32</v>
      </c>
      <c r="D12" s="24">
        <f>Data1!$AD$41</f>
        <v>6</v>
      </c>
      <c r="E12" s="3"/>
      <c r="F12" s="40">
        <v>4</v>
      </c>
      <c r="G12" s="93" t="s">
        <v>118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9.213333333333333</v>
      </c>
      <c r="C13" s="5"/>
      <c r="D13" s="24"/>
      <c r="E13" s="3"/>
      <c r="F13" s="40">
        <v>5</v>
      </c>
      <c r="G13" s="93" t="s">
        <v>117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115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102.1</v>
      </c>
      <c r="D17" s="5">
        <v>194</v>
      </c>
      <c r="E17" s="3"/>
      <c r="F17" s="40">
        <v>9</v>
      </c>
      <c r="G17" s="93" t="s">
        <v>123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23</v>
      </c>
      <c r="D18" s="5"/>
      <c r="E18" s="3"/>
      <c r="F18" s="40">
        <v>10</v>
      </c>
      <c r="G18" s="93" t="s">
        <v>124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20</v>
      </c>
      <c r="D19" s="5"/>
      <c r="E19" s="3"/>
      <c r="F19" s="40">
        <v>11</v>
      </c>
      <c r="G19" s="93" t="s">
        <v>127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7</v>
      </c>
      <c r="D20" s="5"/>
      <c r="E20" s="3"/>
      <c r="F20" s="40">
        <v>12</v>
      </c>
      <c r="G20" s="93" t="s">
        <v>138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16.1</v>
      </c>
      <c r="D21" s="5"/>
      <c r="E21" s="3"/>
      <c r="F21" s="40">
        <v>13</v>
      </c>
      <c r="G21" s="93" t="s">
        <v>137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18</v>
      </c>
      <c r="D22" s="5"/>
      <c r="E22" s="3"/>
      <c r="F22" s="40">
        <v>14</v>
      </c>
      <c r="G22" s="93" t="s">
        <v>136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135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9.6</v>
      </c>
      <c r="D25" s="5" t="s">
        <v>46</v>
      </c>
      <c r="E25" s="5">
        <f>Data1!$AF$41</f>
        <v>1</v>
      </c>
      <c r="F25" s="40">
        <v>17</v>
      </c>
      <c r="G25" s="93" t="s">
        <v>133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117.60000000000001</v>
      </c>
      <c r="D26" s="5" t="s">
        <v>46</v>
      </c>
      <c r="E26" s="3"/>
      <c r="F26" s="40">
        <v>18</v>
      </c>
      <c r="G26" s="93" t="s">
        <v>132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157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156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155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41</v>
      </c>
      <c r="D30" s="5"/>
      <c r="E30" s="5"/>
      <c r="F30" s="40">
        <v>22</v>
      </c>
      <c r="G30" s="93" t="s">
        <v>154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2</v>
      </c>
      <c r="D31" s="22"/>
      <c r="E31" s="5"/>
      <c r="F31" s="40">
        <v>23</v>
      </c>
      <c r="G31" s="93" t="s">
        <v>153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151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5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11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1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161</v>
      </c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2012-05-02T11:05:21Z</dcterms:modified>
  <cp:category/>
  <cp:version/>
  <cp:contentType/>
  <cp:contentStatus/>
</cp:coreProperties>
</file>