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<sst xmlns="http://schemas.openxmlformats.org/spreadsheetml/2006/main" count="187" uniqueCount="147">
  <si>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</si>
  <si>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</si>
  <si>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</si>
  <si>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</si>
  <si>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</si>
  <si>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</si>
  <si>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</si>
  <si>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</si>
  <si>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</si>
  <si>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</si>
  <si>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</si>
  <si>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</si>
  <si>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</si>
  <si>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</si>
  <si>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</si>
  <si>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</si>
  <si>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</si>
  <si>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</si>
  <si>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</si>
  <si>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</si>
  <si>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</si>
  <si>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</si>
  <si>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</si>
  <si>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</si>
  <si>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</si>
  <si>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</si>
  <si>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</si>
  <si>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</si>
  <si>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</si>
  <si>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</si>
  <si>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</si>
  <si>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</si>
  <si>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</si>
  <si>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</si>
  <si>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</si>
  <si>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</si>
  <si>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</si>
  <si>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</si>
  <si>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</si>
  <si>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</si>
  <si>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</si>
  <si>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</si>
  <si>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</si>
  <si>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</si>
  <si>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</si>
  <si>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</si>
  <si>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</si>
  <si>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</si>
  <si>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</si>
  <si>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</si>
  <si>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</si>
  <si>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</si>
  <si>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</si>
  <si>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</si>
  <si>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</si>
  <si>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</si>
  <si>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</si>
  <si>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</si>
  <si>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</si>
  <si>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</si>
  <si>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</si>
  <si>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</si>
  <si>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</si>
  <si>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</si>
  <si>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</si>
  <si>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</si>
  <si>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</si>
  <si>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</si>
  <si>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</si>
  <si>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</si>
  <si>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</si>
  <si>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</si>
  <si>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</si>
  <si>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</si>
  <si>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</si>
  <si>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</si>
  <si>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</si>
  <si>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</si>
  <si>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</si>
  <si>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</si>
  <si>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</si>
  <si>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</si>
  <si>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</si>
  <si>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</si>
  <si>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</si>
  <si>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</si>
  <si>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</si>
  <si>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</si>
  <si>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</si>
  <si>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</si>
  <si>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</si>
  <si>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</si>
  <si>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</si>
  <si>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</si>
  <si>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</si>
  <si>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</si>
  <si>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</si>
  <si>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</si>
  <si>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</si>
  <si>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</si>
  <si>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</si>
  <si>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</si>
  <si>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SW</t>
  </si>
  <si>
    <t>S</t>
  </si>
  <si>
    <t>Early light rain clearing to give a brighter and warm end to the day.</t>
  </si>
  <si>
    <t>A cool start under clear skies. Remaining sunny and warm throughout the day.</t>
  </si>
  <si>
    <t>NE</t>
  </si>
  <si>
    <t>E</t>
  </si>
  <si>
    <t>Another cool start but soon becoming sunny and eventually hot.</t>
  </si>
  <si>
    <t>Clear skies for the most part with long sunny spells; becoming very hot!</t>
  </si>
  <si>
    <t>A sunny start, but more cloud developing during the day. Not as hot.</t>
  </si>
  <si>
    <t>More sunshine today with temperatures soaring once more.</t>
  </si>
  <si>
    <t>A bright start, with sunny spells developing though more hazy. Less hot.</t>
  </si>
  <si>
    <t>A slow start with low cloud and mist. Brightening up after lunch and becoming quite hot.</t>
  </si>
  <si>
    <t>Misty - even foggy - start. Soon sunny and exceptionally hot. Hottest since August '90.</t>
  </si>
  <si>
    <t>Sunny start, then thundery showers - explosive at times.*  Brighter later.</t>
  </si>
  <si>
    <t>Further notes:</t>
  </si>
  <si>
    <t>10th:  Thunder heard between 1230-1530 BST. Severe strikes to the SW of station,</t>
  </si>
  <si>
    <t>but a damaging bolt of lightening locally at 1247hrs - bomb-like sound.</t>
  </si>
  <si>
    <t>NW</t>
  </si>
  <si>
    <t>Cooler, but still warma nd humid with further showery rain and thunder at times.*</t>
  </si>
  <si>
    <t>A rather cloudy morning, gradually brightening with some sun. Turning hot.</t>
  </si>
  <si>
    <t>Mostly sunny and warm - feeling fresher. Patchy cloud and breezy at times.</t>
  </si>
  <si>
    <t>N</t>
  </si>
  <si>
    <t>A cool morning but lots of sunshine lifting temperatures - becoming warm.</t>
  </si>
  <si>
    <t>August</t>
  </si>
  <si>
    <t>Quite a cold start, but soon warming up. Plenty of sunshine throughout the day.</t>
  </si>
  <si>
    <t>tr</t>
  </si>
  <si>
    <t>A milder start, and mostly sunny and very warm again</t>
  </si>
  <si>
    <t>Cool to begin with, but soon cloudy. Just fleeting bright spells but very warm and humid.</t>
  </si>
  <si>
    <t>Another mostly cloudy day, and still huimid. Just brief bright intervals.</t>
  </si>
  <si>
    <t>Cloudy and breezy, and feeling rather cool compared to much of the summer.</t>
  </si>
  <si>
    <t>W</t>
  </si>
  <si>
    <t>Rather cloudy to start once more, but sunny by lunchtime. Still breezy.</t>
  </si>
  <si>
    <t>A mostly cloudy picture, just the odd bright or sunny interval. Humid by evening.</t>
  </si>
  <si>
    <t>Still a lot of cloudy, but muggy. A warm start - and temperatures rising quickly.</t>
  </si>
  <si>
    <t>A dull, cloudy start but gradually brightening to sunny spells by pm. Feeling humid.</t>
  </si>
  <si>
    <t>Another rather cloudy start, but a slower change to sunshine. A brisk east wind.</t>
  </si>
  <si>
    <t>Again a rather warm start, still with easterly wind. Remaining cloudy throughout.</t>
  </si>
  <si>
    <t>Rather a cloudy start to the day, but turning brighter and warm by afternoon.</t>
  </si>
  <si>
    <t>A mix of cloud and sunny intervals. Becoming fairly warm, but cloudy by evening.*</t>
  </si>
  <si>
    <t>A wet start, and rain - mostly light - thoughout the day. Feeling chilly in the N wind.</t>
  </si>
  <si>
    <t>A bright, cool and breezy start. Soon clouding over with light showers. Still some sun.</t>
  </si>
  <si>
    <t>27th: Cloudy by evening with light rain overnight - early hors of 28th 1.0mm.</t>
  </si>
  <si>
    <t>Clear and cold to start with the first ground frost this season. Then sunny and breezy.</t>
  </si>
  <si>
    <t>A fairly bright start with some sunshine. Patchy cloud throughout the day.</t>
  </si>
  <si>
    <t>Av/total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</si>
</sst>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22.1</c:v>
                </c:pt>
                <c:pt idx="1">
                  <c:v>23.8</c:v>
                </c:pt>
                <c:pt idx="2">
                  <c:v>27.4</c:v>
                </c:pt>
                <c:pt idx="3">
                  <c:v>30.7</c:v>
                </c:pt>
                <c:pt idx="4">
                  <c:v>28.1</c:v>
                </c:pt>
                <c:pt idx="5">
                  <c:v>30.1</c:v>
                </c:pt>
                <c:pt idx="6">
                  <c:v>26.9</c:v>
                </c:pt>
                <c:pt idx="7">
                  <c:v>25.6</c:v>
                </c:pt>
                <c:pt idx="8">
                  <c:v>33.3</c:v>
                </c:pt>
                <c:pt idx="9">
                  <c:v>26.1</c:v>
                </c:pt>
                <c:pt idx="10">
                  <c:v>23.1</c:v>
                </c:pt>
                <c:pt idx="11">
                  <c:v>25.7</c:v>
                </c:pt>
                <c:pt idx="12">
                  <c:v>23.4</c:v>
                </c:pt>
                <c:pt idx="13">
                  <c:v>22.9</c:v>
                </c:pt>
                <c:pt idx="14">
                  <c:v>24.2</c:v>
                </c:pt>
                <c:pt idx="15">
                  <c:v>24.5</c:v>
                </c:pt>
                <c:pt idx="16">
                  <c:v>24.8</c:v>
                </c:pt>
                <c:pt idx="17">
                  <c:v>22.9</c:v>
                </c:pt>
                <c:pt idx="18">
                  <c:v>19.9</c:v>
                </c:pt>
                <c:pt idx="19">
                  <c:v>21.6</c:v>
                </c:pt>
                <c:pt idx="20">
                  <c:v>22.9</c:v>
                </c:pt>
                <c:pt idx="21">
                  <c:v>24.9</c:v>
                </c:pt>
                <c:pt idx="22">
                  <c:v>26.2</c:v>
                </c:pt>
                <c:pt idx="23">
                  <c:v>24.3</c:v>
                </c:pt>
                <c:pt idx="24">
                  <c:v>19.3</c:v>
                </c:pt>
                <c:pt idx="25">
                  <c:v>21.1</c:v>
                </c:pt>
                <c:pt idx="26">
                  <c:v>21.8</c:v>
                </c:pt>
                <c:pt idx="27">
                  <c:v>14.5</c:v>
                </c:pt>
                <c:pt idx="28">
                  <c:v>18</c:v>
                </c:pt>
                <c:pt idx="29">
                  <c:v>19</c:v>
                </c:pt>
                <c:pt idx="30">
                  <c:v>17.6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15.6</c:v>
                </c:pt>
                <c:pt idx="1">
                  <c:v>7.8</c:v>
                </c:pt>
                <c:pt idx="2">
                  <c:v>7.6</c:v>
                </c:pt>
                <c:pt idx="3">
                  <c:v>11.1</c:v>
                </c:pt>
                <c:pt idx="4">
                  <c:v>16.1</c:v>
                </c:pt>
                <c:pt idx="5">
                  <c:v>16.6</c:v>
                </c:pt>
                <c:pt idx="6">
                  <c:v>16</c:v>
                </c:pt>
                <c:pt idx="7">
                  <c:v>14.6</c:v>
                </c:pt>
                <c:pt idx="8">
                  <c:v>12.9</c:v>
                </c:pt>
                <c:pt idx="9">
                  <c:v>16.8</c:v>
                </c:pt>
                <c:pt idx="10">
                  <c:v>18.4</c:v>
                </c:pt>
                <c:pt idx="11">
                  <c:v>17.6</c:v>
                </c:pt>
                <c:pt idx="12">
                  <c:v>12.2</c:v>
                </c:pt>
                <c:pt idx="13">
                  <c:v>7.6</c:v>
                </c:pt>
                <c:pt idx="14">
                  <c:v>6.9</c:v>
                </c:pt>
                <c:pt idx="15">
                  <c:v>14.3</c:v>
                </c:pt>
                <c:pt idx="16">
                  <c:v>8.9</c:v>
                </c:pt>
                <c:pt idx="17">
                  <c:v>16.6</c:v>
                </c:pt>
                <c:pt idx="18">
                  <c:v>12</c:v>
                </c:pt>
                <c:pt idx="19">
                  <c:v>7.6</c:v>
                </c:pt>
                <c:pt idx="20">
                  <c:v>11.9</c:v>
                </c:pt>
                <c:pt idx="21">
                  <c:v>17</c:v>
                </c:pt>
                <c:pt idx="22">
                  <c:v>18.5</c:v>
                </c:pt>
                <c:pt idx="23">
                  <c:v>17.9</c:v>
                </c:pt>
                <c:pt idx="24">
                  <c:v>14.9</c:v>
                </c:pt>
                <c:pt idx="25">
                  <c:v>14.6</c:v>
                </c:pt>
                <c:pt idx="26">
                  <c:v>13.6</c:v>
                </c:pt>
                <c:pt idx="27">
                  <c:v>13.1</c:v>
                </c:pt>
                <c:pt idx="28">
                  <c:v>9.5</c:v>
                </c:pt>
                <c:pt idx="29">
                  <c:v>3.5</c:v>
                </c:pt>
                <c:pt idx="30">
                  <c:v>6.7</c:v>
                </c:pt>
              </c:numCache>
            </c:numRef>
          </c:val>
          <c:smooth val="0"/>
        </c:ser>
        <c:marker val="1"/>
        <c:axId val="57992476"/>
        <c:axId val="52170237"/>
      </c:lineChart>
      <c:catAx>
        <c:axId val="57992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70237"/>
        <c:crosses val="autoZero"/>
        <c:auto val="1"/>
        <c:lblOffset val="100"/>
        <c:noMultiLvlLbl val="0"/>
      </c:catAx>
      <c:valAx>
        <c:axId val="5217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79924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2.6</c:v>
                </c:pt>
                <c:pt idx="10">
                  <c:v>1.6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7</c:v>
                </c:pt>
                <c:pt idx="28">
                  <c:v>0.3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6878950"/>
        <c:axId val="65039639"/>
      </c:barChart>
      <c:catAx>
        <c:axId val="66878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39639"/>
        <c:crosses val="autoZero"/>
        <c:auto val="1"/>
        <c:lblOffset val="100"/>
        <c:noMultiLvlLbl val="0"/>
      </c:catAx>
      <c:valAx>
        <c:axId val="65039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68789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48485840"/>
        <c:axId val="33719377"/>
      </c:barChart>
      <c:catAx>
        <c:axId val="4848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19377"/>
        <c:crosses val="autoZero"/>
        <c:auto val="1"/>
        <c:lblOffset val="100"/>
        <c:noMultiLvlLbl val="0"/>
      </c:catAx>
      <c:valAx>
        <c:axId val="3371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8485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12.9</c:v>
                </c:pt>
                <c:pt idx="1">
                  <c:v>3.5</c:v>
                </c:pt>
                <c:pt idx="2">
                  <c:v>4.6</c:v>
                </c:pt>
                <c:pt idx="3">
                  <c:v>7.7</c:v>
                </c:pt>
                <c:pt idx="4">
                  <c:v>13.5</c:v>
                </c:pt>
                <c:pt idx="5">
                  <c:v>11.6</c:v>
                </c:pt>
                <c:pt idx="6">
                  <c:v>11.8</c:v>
                </c:pt>
                <c:pt idx="7">
                  <c:v>10.6</c:v>
                </c:pt>
                <c:pt idx="8">
                  <c:v>9.7</c:v>
                </c:pt>
                <c:pt idx="9">
                  <c:v>12.5</c:v>
                </c:pt>
                <c:pt idx="10">
                  <c:v>15.9</c:v>
                </c:pt>
                <c:pt idx="11">
                  <c:v>13.9</c:v>
                </c:pt>
                <c:pt idx="12">
                  <c:v>7.6</c:v>
                </c:pt>
                <c:pt idx="13">
                  <c:v>3.5</c:v>
                </c:pt>
                <c:pt idx="14">
                  <c:v>3</c:v>
                </c:pt>
                <c:pt idx="15">
                  <c:v>10.7</c:v>
                </c:pt>
                <c:pt idx="16">
                  <c:v>4.7</c:v>
                </c:pt>
                <c:pt idx="17">
                  <c:v>13.8</c:v>
                </c:pt>
                <c:pt idx="18">
                  <c:v>7.6</c:v>
                </c:pt>
                <c:pt idx="19">
                  <c:v>3.1</c:v>
                </c:pt>
                <c:pt idx="20">
                  <c:v>7.1</c:v>
                </c:pt>
                <c:pt idx="21">
                  <c:v>16.2</c:v>
                </c:pt>
                <c:pt idx="22">
                  <c:v>16.2</c:v>
                </c:pt>
                <c:pt idx="23">
                  <c:v>14.8</c:v>
                </c:pt>
                <c:pt idx="24">
                  <c:v>11.9</c:v>
                </c:pt>
                <c:pt idx="25">
                  <c:v>13.3</c:v>
                </c:pt>
                <c:pt idx="26">
                  <c:v>12.9</c:v>
                </c:pt>
                <c:pt idx="27">
                  <c:v>11.7</c:v>
                </c:pt>
                <c:pt idx="28">
                  <c:v>6.8</c:v>
                </c:pt>
                <c:pt idx="29">
                  <c:v>-0.7</c:v>
                </c:pt>
                <c:pt idx="30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35038938"/>
        <c:axId val="46914987"/>
      </c:lineChart>
      <c:catAx>
        <c:axId val="35038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14987"/>
        <c:crosses val="autoZero"/>
        <c:auto val="1"/>
        <c:lblOffset val="100"/>
        <c:noMultiLvlLbl val="0"/>
      </c:catAx>
      <c:valAx>
        <c:axId val="4691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5038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Surf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18</c:v>
                </c:pt>
                <c:pt idx="1">
                  <c:v>17.5</c:v>
                </c:pt>
                <c:pt idx="2">
                  <c:v>19.2</c:v>
                </c:pt>
                <c:pt idx="3">
                  <c:v>16.4</c:v>
                </c:pt>
                <c:pt idx="4">
                  <c:v>19.5</c:v>
                </c:pt>
                <c:pt idx="5">
                  <c:v>18.5</c:v>
                </c:pt>
                <c:pt idx="6">
                  <c:v>20.5</c:v>
                </c:pt>
                <c:pt idx="7">
                  <c:v>22.1</c:v>
                </c:pt>
                <c:pt idx="8">
                  <c:v>24.8</c:v>
                </c:pt>
                <c:pt idx="9">
                  <c:v>23.9</c:v>
                </c:pt>
                <c:pt idx="10">
                  <c:v>20.4</c:v>
                </c:pt>
                <c:pt idx="11">
                  <c:v>21.9</c:v>
                </c:pt>
                <c:pt idx="12">
                  <c:v>18.4</c:v>
                </c:pt>
                <c:pt idx="13">
                  <c:v>17.9</c:v>
                </c:pt>
                <c:pt idx="14">
                  <c:v>17.2</c:v>
                </c:pt>
                <c:pt idx="15">
                  <c:v>21.3</c:v>
                </c:pt>
                <c:pt idx="16">
                  <c:v>21.1</c:v>
                </c:pt>
                <c:pt idx="17">
                  <c:v>20.9</c:v>
                </c:pt>
                <c:pt idx="18">
                  <c:v>20.1</c:v>
                </c:pt>
                <c:pt idx="19">
                  <c:v>21.1</c:v>
                </c:pt>
                <c:pt idx="20">
                  <c:v>18.9</c:v>
                </c:pt>
                <c:pt idx="21">
                  <c:v>22.5</c:v>
                </c:pt>
                <c:pt idx="22">
                  <c:v>23.1</c:v>
                </c:pt>
                <c:pt idx="23">
                  <c:v>22.1</c:v>
                </c:pt>
                <c:pt idx="24">
                  <c:v>22.2</c:v>
                </c:pt>
                <c:pt idx="25">
                  <c:v>19.9</c:v>
                </c:pt>
                <c:pt idx="26">
                  <c:v>20.5</c:v>
                </c:pt>
                <c:pt idx="27">
                  <c:v>15.7</c:v>
                </c:pt>
                <c:pt idx="28">
                  <c:v>14</c:v>
                </c:pt>
                <c:pt idx="29">
                  <c:v>10.6</c:v>
                </c:pt>
                <c:pt idx="30">
                  <c:v>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</c:v>
                </c:pt>
                <c:pt idx="1">
                  <c:v>15.7</c:v>
                </c:pt>
                <c:pt idx="2">
                  <c:v>16.5</c:v>
                </c:pt>
                <c:pt idx="3">
                  <c:v>16.2</c:v>
                </c:pt>
                <c:pt idx="4">
                  <c:v>19</c:v>
                </c:pt>
                <c:pt idx="5">
                  <c:v>18.2</c:v>
                </c:pt>
                <c:pt idx="6">
                  <c:v>19.4</c:v>
                </c:pt>
                <c:pt idx="7">
                  <c:v>20.3</c:v>
                </c:pt>
                <c:pt idx="8">
                  <c:v>22.1</c:v>
                </c:pt>
                <c:pt idx="9">
                  <c:v>21.4</c:v>
                </c:pt>
                <c:pt idx="10">
                  <c:v>19.9</c:v>
                </c:pt>
                <c:pt idx="11">
                  <c:v>20.3</c:v>
                </c:pt>
                <c:pt idx="12">
                  <c:v>18.1</c:v>
                </c:pt>
                <c:pt idx="13">
                  <c:v>18.2</c:v>
                </c:pt>
                <c:pt idx="14">
                  <c:v>17.8</c:v>
                </c:pt>
                <c:pt idx="15">
                  <c:v>19.7</c:v>
                </c:pt>
                <c:pt idx="16">
                  <c:v>19.2</c:v>
                </c:pt>
                <c:pt idx="17">
                  <c:v>20.1</c:v>
                </c:pt>
                <c:pt idx="18">
                  <c:v>19.2</c:v>
                </c:pt>
                <c:pt idx="19">
                  <c:v>17.9</c:v>
                </c:pt>
                <c:pt idx="20">
                  <c:v>17.3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19.5</c:v>
                </c:pt>
                <c:pt idx="25">
                  <c:v>17.9</c:v>
                </c:pt>
                <c:pt idx="26">
                  <c:v>18.6</c:v>
                </c:pt>
                <c:pt idx="27">
                  <c:v>16.1</c:v>
                </c:pt>
                <c:pt idx="28">
                  <c:v>15</c:v>
                </c:pt>
                <c:pt idx="29">
                  <c:v>12.4</c:v>
                </c:pt>
                <c:pt idx="30">
                  <c:v>12.7</c:v>
                </c:pt>
              </c:numCache>
            </c:numRef>
          </c:val>
          <c:smooth val="0"/>
        </c:ser>
        <c:marker val="1"/>
        <c:axId val="19581700"/>
        <c:axId val="42017573"/>
      </c:lineChart>
      <c:catAx>
        <c:axId val="1958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17573"/>
        <c:crosses val="autoZero"/>
        <c:auto val="1"/>
        <c:lblOffset val="100"/>
        <c:noMultiLvlLbl val="0"/>
      </c:catAx>
      <c:valAx>
        <c:axId val="4201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95817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</c:v>
                </c:pt>
                <c:pt idx="1">
                  <c:v>15</c:v>
                </c:pt>
                <c:pt idx="2">
                  <c:v>15.4</c:v>
                </c:pt>
                <c:pt idx="3">
                  <c:v>16.4</c:v>
                </c:pt>
                <c:pt idx="4">
                  <c:v>18.6</c:v>
                </c:pt>
                <c:pt idx="5">
                  <c:v>18</c:v>
                </c:pt>
                <c:pt idx="6">
                  <c:v>19</c:v>
                </c:pt>
                <c:pt idx="7">
                  <c:v>19.2</c:v>
                </c:pt>
                <c:pt idx="8">
                  <c:v>19.2</c:v>
                </c:pt>
                <c:pt idx="9">
                  <c:v>19.6</c:v>
                </c:pt>
                <c:pt idx="10">
                  <c:v>19.2</c:v>
                </c:pt>
                <c:pt idx="11">
                  <c:v>19.1</c:v>
                </c:pt>
                <c:pt idx="12">
                  <c:v>17.5</c:v>
                </c:pt>
                <c:pt idx="13">
                  <c:v>16.1</c:v>
                </c:pt>
                <c:pt idx="14">
                  <c:v>16.1</c:v>
                </c:pt>
                <c:pt idx="15">
                  <c:v>17.6</c:v>
                </c:pt>
                <c:pt idx="16">
                  <c:v>17.4</c:v>
                </c:pt>
                <c:pt idx="17">
                  <c:v>18.6</c:v>
                </c:pt>
                <c:pt idx="18">
                  <c:v>17.2</c:v>
                </c:pt>
                <c:pt idx="19">
                  <c:v>16.2</c:v>
                </c:pt>
                <c:pt idx="20">
                  <c:v>16.5</c:v>
                </c:pt>
                <c:pt idx="21">
                  <c:v>18.1</c:v>
                </c:pt>
                <c:pt idx="22">
                  <c:v>18.5</c:v>
                </c:pt>
                <c:pt idx="23">
                  <c:v>18.6</c:v>
                </c:pt>
                <c:pt idx="24">
                  <c:v>18.1</c:v>
                </c:pt>
                <c:pt idx="25">
                  <c:v>17.1</c:v>
                </c:pt>
                <c:pt idx="26">
                  <c:v>17.1</c:v>
                </c:pt>
                <c:pt idx="27">
                  <c:v>16.8</c:v>
                </c:pt>
                <c:pt idx="28">
                  <c:v>14.1</c:v>
                </c:pt>
                <c:pt idx="29">
                  <c:v>12.3</c:v>
                </c:pt>
                <c:pt idx="30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42613838"/>
        <c:axId val="47980223"/>
      </c:lineChart>
      <c:catAx>
        <c:axId val="4261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80223"/>
        <c:crosses val="autoZero"/>
        <c:auto val="1"/>
        <c:lblOffset val="100"/>
        <c:noMultiLvlLbl val="0"/>
      </c:catAx>
      <c:valAx>
        <c:axId val="47980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2613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1016.1429160872341</c:v>
                </c:pt>
                <c:pt idx="1">
                  <c:v>1021.7019183991813</c:v>
                </c:pt>
                <c:pt idx="2">
                  <c:v>1022.7191167560748</c:v>
                </c:pt>
                <c:pt idx="3">
                  <c:v>1023.2099412537887</c:v>
                </c:pt>
                <c:pt idx="4">
                  <c:v>1023.0837018785892</c:v>
                </c:pt>
                <c:pt idx="5">
                  <c:v>1019.0577021441935</c:v>
                </c:pt>
                <c:pt idx="6">
                  <c:v>1020.1024150590566</c:v>
                </c:pt>
                <c:pt idx="7">
                  <c:v>1020.0884883508201</c:v>
                </c:pt>
                <c:pt idx="8">
                  <c:v>1019.0163633779584</c:v>
                </c:pt>
                <c:pt idx="9">
                  <c:v>1016.3765291502882</c:v>
                </c:pt>
                <c:pt idx="10">
                  <c:v>1019.0473354964575</c:v>
                </c:pt>
                <c:pt idx="11">
                  <c:v>1021.0672509285616</c:v>
                </c:pt>
                <c:pt idx="12">
                  <c:v>1020.5934826519838</c:v>
                </c:pt>
                <c:pt idx="13">
                  <c:v>1020.6812034098836</c:v>
                </c:pt>
                <c:pt idx="14">
                  <c:v>1019.1979967554296</c:v>
                </c:pt>
                <c:pt idx="15">
                  <c:v>1020.126879543032</c:v>
                </c:pt>
                <c:pt idx="16">
                  <c:v>1016.595278853536</c:v>
                </c:pt>
                <c:pt idx="17">
                  <c:v>1012.9841589182872</c:v>
                </c:pt>
                <c:pt idx="18">
                  <c:v>1019.1414118490795</c:v>
                </c:pt>
                <c:pt idx="19">
                  <c:v>1020.6776653151173</c:v>
                </c:pt>
                <c:pt idx="20">
                  <c:v>1015.602729993315</c:v>
                </c:pt>
                <c:pt idx="21">
                  <c:v>1014.4853722803518</c:v>
                </c:pt>
                <c:pt idx="22">
                  <c:v>1018.514830080898</c:v>
                </c:pt>
                <c:pt idx="23">
                  <c:v>1021.0845748382759</c:v>
                </c:pt>
                <c:pt idx="24">
                  <c:v>1020.133891173714</c:v>
                </c:pt>
                <c:pt idx="25">
                  <c:v>1018.1630809303498</c:v>
                </c:pt>
                <c:pt idx="26">
                  <c:v>1017.1813331665253</c:v>
                </c:pt>
                <c:pt idx="27">
                  <c:v>1011.1917770038997</c:v>
                </c:pt>
                <c:pt idx="28">
                  <c:v>1009.6444312491626</c:v>
                </c:pt>
                <c:pt idx="29">
                  <c:v>1017.7796245721065</c:v>
                </c:pt>
                <c:pt idx="30">
                  <c:v>1020.2545921145553</c:v>
                </c:pt>
              </c:numCache>
            </c:numRef>
          </c:val>
        </c:ser>
        <c:axId val="29168824"/>
        <c:axId val="61192825"/>
      </c:barChart>
      <c:catAx>
        <c:axId val="291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92825"/>
        <c:crosses val="autoZero"/>
        <c:auto val="1"/>
        <c:lblOffset val="100"/>
        <c:noMultiLvlLbl val="0"/>
      </c:catAx>
      <c:valAx>
        <c:axId val="61192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9168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14.791666116982263</c:v>
                </c:pt>
                <c:pt idx="1">
                  <c:v>11.078128945119449</c:v>
                </c:pt>
                <c:pt idx="2">
                  <c:v>12.63827552065143</c:v>
                </c:pt>
                <c:pt idx="3">
                  <c:v>14.360759221298151</c:v>
                </c:pt>
                <c:pt idx="4">
                  <c:v>15.872715324947189</c:v>
                </c:pt>
                <c:pt idx="5">
                  <c:v>17.18114210448298</c:v>
                </c:pt>
                <c:pt idx="6">
                  <c:v>15.95941965790462</c:v>
                </c:pt>
                <c:pt idx="7">
                  <c:v>15.857870253369118</c:v>
                </c:pt>
                <c:pt idx="8">
                  <c:v>18.434573131617267</c:v>
                </c:pt>
                <c:pt idx="9">
                  <c:v>19.747380878709084</c:v>
                </c:pt>
                <c:pt idx="10">
                  <c:v>17.828691431415002</c:v>
                </c:pt>
                <c:pt idx="11">
                  <c:v>17.66227964171282</c:v>
                </c:pt>
                <c:pt idx="12">
                  <c:v>14.037055376972113</c:v>
                </c:pt>
                <c:pt idx="13">
                  <c:v>11.620798070188016</c:v>
                </c:pt>
                <c:pt idx="14">
                  <c:v>11.417413613484301</c:v>
                </c:pt>
                <c:pt idx="15">
                  <c:v>12.0088947531343</c:v>
                </c:pt>
                <c:pt idx="16">
                  <c:v>12.095082872917057</c:v>
                </c:pt>
                <c:pt idx="17">
                  <c:v>15.150218114485453</c:v>
                </c:pt>
                <c:pt idx="18">
                  <c:v>9.481609206884265</c:v>
                </c:pt>
                <c:pt idx="19">
                  <c:v>12.327345943004985</c:v>
                </c:pt>
                <c:pt idx="20">
                  <c:v>12.323008001847647</c:v>
                </c:pt>
                <c:pt idx="21">
                  <c:v>16.483494997245856</c:v>
                </c:pt>
                <c:pt idx="22">
                  <c:v>17.324364703408854</c:v>
                </c:pt>
                <c:pt idx="23">
                  <c:v>15.93331634741756</c:v>
                </c:pt>
                <c:pt idx="24">
                  <c:v>12.966992857627908</c:v>
                </c:pt>
                <c:pt idx="25">
                  <c:v>12.386505748960722</c:v>
                </c:pt>
                <c:pt idx="26">
                  <c:v>10.068449817026885</c:v>
                </c:pt>
                <c:pt idx="27">
                  <c:v>11.32356619842408</c:v>
                </c:pt>
                <c:pt idx="28">
                  <c:v>11.299765596348173</c:v>
                </c:pt>
                <c:pt idx="29">
                  <c:v>7.947760294675755</c:v>
                </c:pt>
                <c:pt idx="30">
                  <c:v>9.116064589503628</c:v>
                </c:pt>
              </c:numCache>
            </c:numRef>
          </c:val>
          <c:smooth val="0"/>
        </c:ser>
        <c:marker val="1"/>
        <c:axId val="13864514"/>
        <c:axId val="57671763"/>
      </c:lineChart>
      <c:catAx>
        <c:axId val="13864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71763"/>
        <c:crosses val="autoZero"/>
        <c:auto val="1"/>
        <c:lblOffset val="100"/>
        <c:noMultiLvlLbl val="0"/>
      </c:catAx>
      <c:valAx>
        <c:axId val="5767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38645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99519d3-5620-41fe-89be-37a7ce074eba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dbeaf05-03bc-4128-8615-be99ad8e45e5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0.03475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0d59740-b82e-414d-9987-1cdd370ef8a0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e71f0ea-545e-4e20-bb6b-c21f772a16c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7e15be5-fc20-4625-852f-fde600fbe5c9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0.0235</cdr:y>
    </cdr:from>
    <cdr:to>
      <cdr:x>0.93375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0000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6b4fbf6-98b4-45e3-b310-97f64e6420e6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fbb8ec3-0a73-4a62-9f2e-ecc2b7292e47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f066f4b-3073-492d-8a94-e4dc35c3ab74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0.03675</cdr:y>
    </cdr:from>
    <cdr:to>
      <cdr:x>0.9335</cdr:x>
      <cdr:y>0.0715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01425" y="257175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27fbfc9-086d-41bc-bcb1-f02aa5879387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R4" sqref="R4"/>
      <selection pane="bottomLeft" activeCell="X45" sqref="X45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125</v>
      </c>
      <c r="R4" s="60">
        <v>2003</v>
      </c>
      <c r="S4" s="7"/>
      <c r="T4" s="7"/>
      <c r="U4" s="60"/>
      <c r="V4" s="18"/>
      <c r="W4" s="102"/>
      <c r="X4" s="99"/>
      <c r="Y4" s="147" t="s">
        <v>96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8"/>
      <c r="Z5" s="132"/>
      <c r="AA5" s="42" t="s">
        <v>89</v>
      </c>
    </row>
    <row r="6" spans="1:26" ht="13.5" customHeight="1" thickBot="1">
      <c r="A6" s="31" t="s">
        <v>0</v>
      </c>
      <c r="B6" s="142" t="s">
        <v>1</v>
      </c>
      <c r="C6" s="143"/>
      <c r="D6" s="143"/>
      <c r="E6" s="143"/>
      <c r="F6" s="144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104" t="s">
        <v>65</v>
      </c>
      <c r="X6" s="145" t="s">
        <v>29</v>
      </c>
      <c r="Y6" s="148"/>
      <c r="Z6" s="132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5" t="s">
        <v>67</v>
      </c>
      <c r="X7" s="145"/>
      <c r="Y7" s="148"/>
      <c r="Z7" s="132"/>
    </row>
    <row r="8" spans="1:41" ht="40.5" thickBot="1">
      <c r="A8" s="33"/>
      <c r="B8" s="29" t="s">
        <v>16</v>
      </c>
      <c r="C8" s="8" t="s">
        <v>17</v>
      </c>
      <c r="D8" s="8" t="s">
        <v>14</v>
      </c>
      <c r="E8" s="8" t="s">
        <v>15</v>
      </c>
      <c r="F8" s="10" t="s">
        <v>61</v>
      </c>
      <c r="G8" s="33" t="s">
        <v>39</v>
      </c>
      <c r="H8" s="33" t="s">
        <v>85</v>
      </c>
      <c r="I8" s="56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29" t="s">
        <v>90</v>
      </c>
      <c r="Q8" s="10" t="s">
        <v>97</v>
      </c>
      <c r="R8" s="10" t="s">
        <v>12</v>
      </c>
      <c r="S8" s="33" t="s">
        <v>20</v>
      </c>
      <c r="T8" s="33" t="s">
        <v>99</v>
      </c>
      <c r="U8" s="33" t="s">
        <v>21</v>
      </c>
      <c r="V8" s="33" t="s">
        <v>68</v>
      </c>
      <c r="W8" s="106" t="s">
        <v>68</v>
      </c>
      <c r="X8" s="146"/>
      <c r="Y8" s="149"/>
      <c r="Z8" s="132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63">
        <v>1</v>
      </c>
      <c r="B9" s="64">
        <v>16</v>
      </c>
      <c r="C9" s="65">
        <v>15.3</v>
      </c>
      <c r="D9" s="65">
        <v>22.1</v>
      </c>
      <c r="E9" s="65">
        <v>15.6</v>
      </c>
      <c r="F9" s="66">
        <f aca="true" t="shared" si="0" ref="F9:F39">AVERAGE(D9:E9)</f>
        <v>18.85</v>
      </c>
      <c r="G9" s="67">
        <f>100*(AI9/AG9)</f>
        <v>92.53749230597053</v>
      </c>
      <c r="H9" s="67">
        <f aca="true" t="shared" si="1" ref="H9:H39">AJ9</f>
        <v>14.791666116982263</v>
      </c>
      <c r="I9" s="68">
        <v>12.9</v>
      </c>
      <c r="J9" s="66"/>
      <c r="K9" s="68">
        <v>18</v>
      </c>
      <c r="L9" s="65">
        <v>17</v>
      </c>
      <c r="M9" s="65">
        <v>17</v>
      </c>
      <c r="N9" s="65"/>
      <c r="O9" s="66"/>
      <c r="P9" s="69" t="s">
        <v>102</v>
      </c>
      <c r="Q9" s="70">
        <v>16</v>
      </c>
      <c r="R9" s="67"/>
      <c r="S9" s="67">
        <v>0.2</v>
      </c>
      <c r="T9" s="67">
        <v>0.2</v>
      </c>
      <c r="U9" s="71"/>
      <c r="V9" s="64">
        <v>1006</v>
      </c>
      <c r="W9" s="121">
        <f aca="true" t="shared" si="2" ref="W9:W39">V9+AT17</f>
        <v>1016.1429160872341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1</v>
      </c>
      <c r="AG9">
        <f>6.107*EXP(17.38*(B9/(239+B9)))</f>
        <v>18.173154145192665</v>
      </c>
      <c r="AH9">
        <f aca="true" t="shared" si="5" ref="AH9:AH39">IF(V9&gt;=0,6.107*EXP(17.38*(C9/(239+C9))),6.107*EXP(22.44*(C9/(272.4+C9))))</f>
        <v>17.376281118859826</v>
      </c>
      <c r="AI9">
        <f aca="true" t="shared" si="6" ref="AI9:AI39">IF(C9&gt;=0,AH9-(0.000799*1000*(B9-C9)),AH9-(0.00072*1000*(B9-C9)))</f>
        <v>16.816981118859825</v>
      </c>
      <c r="AJ9">
        <f>239*LN(AI9/6.107)/(17.38-LN(AI9/6.107))</f>
        <v>14.791666116982263</v>
      </c>
      <c r="AL9">
        <f>COUNTIF(U9:U39,"&lt;1")</f>
        <v>0</v>
      </c>
      <c r="AM9">
        <f>COUNTIF(E9:E39,"&lt;0")</f>
        <v>0</v>
      </c>
      <c r="AN9">
        <f>COUNTIF(I9:I39,"&lt;0")</f>
        <v>1</v>
      </c>
      <c r="AO9">
        <f>COUNTIF(Q9:Q39,"&gt;=39")</f>
        <v>0</v>
      </c>
    </row>
    <row r="10" spans="1:36" ht="12.75">
      <c r="A10" s="72">
        <v>2</v>
      </c>
      <c r="B10" s="73">
        <v>15.9</v>
      </c>
      <c r="C10" s="74">
        <v>13.3</v>
      </c>
      <c r="D10" s="74">
        <v>23.8</v>
      </c>
      <c r="E10" s="74">
        <v>7.8</v>
      </c>
      <c r="F10" s="75">
        <f t="shared" si="0"/>
        <v>15.8</v>
      </c>
      <c r="G10" s="67">
        <f aca="true" t="shared" si="7" ref="G10:G39">100*(AI10/AG10)</f>
        <v>73.03668421993356</v>
      </c>
      <c r="H10" s="76">
        <f t="shared" si="1"/>
        <v>11.078128945119449</v>
      </c>
      <c r="I10" s="77">
        <v>3.5</v>
      </c>
      <c r="J10" s="75"/>
      <c r="K10" s="77">
        <v>17.5</v>
      </c>
      <c r="L10" s="74">
        <v>15.7</v>
      </c>
      <c r="M10" s="74">
        <v>15</v>
      </c>
      <c r="N10" s="74"/>
      <c r="O10" s="75"/>
      <c r="P10" s="78" t="s">
        <v>102</v>
      </c>
      <c r="Q10" s="79">
        <v>14</v>
      </c>
      <c r="R10" s="76"/>
      <c r="S10" s="76">
        <v>0</v>
      </c>
      <c r="T10" s="76">
        <v>0</v>
      </c>
      <c r="U10" s="80"/>
      <c r="V10" s="73">
        <v>1011.5</v>
      </c>
      <c r="W10" s="121">
        <f t="shared" si="2"/>
        <v>1021.7019183991813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18.057388147749236</v>
      </c>
      <c r="AH10">
        <f t="shared" si="5"/>
        <v>15.265917559839318</v>
      </c>
      <c r="AI10">
        <f t="shared" si="6"/>
        <v>13.188517559839319</v>
      </c>
      <c r="AJ10">
        <f aca="true" t="shared" si="12" ref="AJ10:AJ39">239*LN(AI10/6.107)/(17.38-LN(AI10/6.107))</f>
        <v>11.078128945119449</v>
      </c>
    </row>
    <row r="11" spans="1:36" ht="12.75">
      <c r="A11" s="63">
        <v>3</v>
      </c>
      <c r="B11" s="64">
        <v>15.7</v>
      </c>
      <c r="C11" s="65">
        <v>14</v>
      </c>
      <c r="D11" s="65">
        <v>27.4</v>
      </c>
      <c r="E11" s="65">
        <v>7.6</v>
      </c>
      <c r="F11" s="66">
        <f t="shared" si="0"/>
        <v>17.5</v>
      </c>
      <c r="G11" s="67">
        <f t="shared" si="7"/>
        <v>82.00168694745227</v>
      </c>
      <c r="H11" s="67">
        <f t="shared" si="1"/>
        <v>12.63827552065143</v>
      </c>
      <c r="I11" s="68">
        <v>4.6</v>
      </c>
      <c r="J11" s="66"/>
      <c r="K11" s="68">
        <v>19.2</v>
      </c>
      <c r="L11" s="65">
        <v>16.5</v>
      </c>
      <c r="M11" s="65">
        <v>15.4</v>
      </c>
      <c r="N11" s="65"/>
      <c r="O11" s="66"/>
      <c r="P11" s="69" t="s">
        <v>103</v>
      </c>
      <c r="Q11" s="70">
        <v>8</v>
      </c>
      <c r="R11" s="67"/>
      <c r="S11" s="67">
        <v>0</v>
      </c>
      <c r="T11" s="67">
        <v>0</v>
      </c>
      <c r="U11" s="71"/>
      <c r="V11" s="64">
        <v>1012.5</v>
      </c>
      <c r="W11" s="121">
        <f t="shared" si="2"/>
        <v>1022.7191167560748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17.82779541421407</v>
      </c>
      <c r="AH11">
        <f t="shared" si="5"/>
        <v>15.977392985196072</v>
      </c>
      <c r="AI11">
        <f t="shared" si="6"/>
        <v>14.619092985196072</v>
      </c>
      <c r="AJ11">
        <f t="shared" si="12"/>
        <v>12.63827552065143</v>
      </c>
    </row>
    <row r="12" spans="1:36" ht="12.75">
      <c r="A12" s="72">
        <v>4</v>
      </c>
      <c r="B12" s="73">
        <v>16.1</v>
      </c>
      <c r="C12" s="74">
        <v>15.1</v>
      </c>
      <c r="D12" s="74">
        <v>30.7</v>
      </c>
      <c r="E12" s="74">
        <v>11.1</v>
      </c>
      <c r="F12" s="75">
        <f t="shared" si="0"/>
        <v>20.9</v>
      </c>
      <c r="G12" s="67">
        <f t="shared" si="7"/>
        <v>89.42424725513942</v>
      </c>
      <c r="H12" s="76">
        <f t="shared" si="1"/>
        <v>14.360759221298151</v>
      </c>
      <c r="I12" s="77">
        <v>7.7</v>
      </c>
      <c r="J12" s="75"/>
      <c r="K12" s="77">
        <v>16.4</v>
      </c>
      <c r="L12" s="74">
        <v>16.2</v>
      </c>
      <c r="M12" s="74">
        <v>16.4</v>
      </c>
      <c r="N12" s="74"/>
      <c r="O12" s="75"/>
      <c r="P12" s="78" t="s">
        <v>103</v>
      </c>
      <c r="Q12" s="79">
        <v>10</v>
      </c>
      <c r="R12" s="76"/>
      <c r="S12" s="76">
        <v>0</v>
      </c>
      <c r="T12" s="76">
        <v>0</v>
      </c>
      <c r="U12" s="80"/>
      <c r="V12" s="73">
        <v>1013</v>
      </c>
      <c r="W12" s="121">
        <f t="shared" si="2"/>
        <v>1023.2099412537887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18.289570683885234</v>
      </c>
      <c r="AH12">
        <f t="shared" si="5"/>
        <v>17.154310910261028</v>
      </c>
      <c r="AI12">
        <f t="shared" si="6"/>
        <v>16.355310910261025</v>
      </c>
      <c r="AJ12">
        <f t="shared" si="12"/>
        <v>14.360759221298151</v>
      </c>
    </row>
    <row r="13" spans="1:36" ht="12.75">
      <c r="A13" s="63">
        <v>5</v>
      </c>
      <c r="B13" s="64">
        <v>19.7</v>
      </c>
      <c r="C13" s="65">
        <v>17.4</v>
      </c>
      <c r="D13" s="65">
        <v>28.1</v>
      </c>
      <c r="E13" s="65">
        <v>16.1</v>
      </c>
      <c r="F13" s="66">
        <f t="shared" si="0"/>
        <v>22.1</v>
      </c>
      <c r="G13" s="67">
        <f t="shared" si="7"/>
        <v>78.57536870745777</v>
      </c>
      <c r="H13" s="67">
        <f t="shared" si="1"/>
        <v>15.872715324947189</v>
      </c>
      <c r="I13" s="68">
        <v>13.5</v>
      </c>
      <c r="J13" s="66"/>
      <c r="K13" s="68">
        <v>19.5</v>
      </c>
      <c r="L13" s="65">
        <v>19</v>
      </c>
      <c r="M13" s="65">
        <v>18.6</v>
      </c>
      <c r="N13" s="65"/>
      <c r="O13" s="66"/>
      <c r="P13" s="69" t="s">
        <v>106</v>
      </c>
      <c r="Q13" s="70">
        <v>26</v>
      </c>
      <c r="R13" s="67"/>
      <c r="S13" s="67">
        <v>0.1</v>
      </c>
      <c r="T13" s="67">
        <v>0.1</v>
      </c>
      <c r="U13" s="71"/>
      <c r="V13" s="64">
        <v>1013</v>
      </c>
      <c r="W13" s="121">
        <f t="shared" si="2"/>
        <v>1023.0837018785892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22.94092235862197</v>
      </c>
      <c r="AH13">
        <f t="shared" si="5"/>
        <v>19.863614328178834</v>
      </c>
      <c r="AI13">
        <f t="shared" si="6"/>
        <v>18.025914328178832</v>
      </c>
      <c r="AJ13">
        <f t="shared" si="12"/>
        <v>15.872715324947189</v>
      </c>
    </row>
    <row r="14" spans="1:36" ht="12.75">
      <c r="A14" s="72">
        <v>6</v>
      </c>
      <c r="B14" s="73">
        <v>19.3</v>
      </c>
      <c r="C14" s="74">
        <v>18</v>
      </c>
      <c r="D14" s="74">
        <v>30.1</v>
      </c>
      <c r="E14" s="74">
        <v>16.6</v>
      </c>
      <c r="F14" s="75">
        <f t="shared" si="0"/>
        <v>23.35</v>
      </c>
      <c r="G14" s="67">
        <f t="shared" si="7"/>
        <v>87.5458040878888</v>
      </c>
      <c r="H14" s="76">
        <f t="shared" si="1"/>
        <v>17.18114210448298</v>
      </c>
      <c r="I14" s="77">
        <v>11.6</v>
      </c>
      <c r="J14" s="75"/>
      <c r="K14" s="77">
        <v>18.5</v>
      </c>
      <c r="L14" s="74">
        <v>18.2</v>
      </c>
      <c r="M14" s="74">
        <v>18</v>
      </c>
      <c r="N14" s="74"/>
      <c r="O14" s="75"/>
      <c r="P14" s="78" t="s">
        <v>107</v>
      </c>
      <c r="Q14" s="79">
        <v>17</v>
      </c>
      <c r="R14" s="76"/>
      <c r="S14" s="76">
        <v>0</v>
      </c>
      <c r="T14" s="76">
        <v>0</v>
      </c>
      <c r="U14" s="80"/>
      <c r="V14" s="73">
        <v>1009</v>
      </c>
      <c r="W14" s="121">
        <f t="shared" si="2"/>
        <v>1019.0577021441935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22.37753182360666</v>
      </c>
      <c r="AH14">
        <f t="shared" si="5"/>
        <v>20.629290169999656</v>
      </c>
      <c r="AI14">
        <f t="shared" si="6"/>
        <v>19.590590169999654</v>
      </c>
      <c r="AJ14">
        <f t="shared" si="12"/>
        <v>17.18114210448298</v>
      </c>
    </row>
    <row r="15" spans="1:36" ht="12.75">
      <c r="A15" s="63">
        <v>7</v>
      </c>
      <c r="B15" s="64">
        <v>18.3</v>
      </c>
      <c r="C15" s="65">
        <v>16.9</v>
      </c>
      <c r="D15" s="65">
        <v>26.9</v>
      </c>
      <c r="E15" s="65">
        <v>16</v>
      </c>
      <c r="F15" s="66">
        <f t="shared" si="0"/>
        <v>21.45</v>
      </c>
      <c r="G15" s="67">
        <f t="shared" si="7"/>
        <v>86.22550637082298</v>
      </c>
      <c r="H15" s="67">
        <f t="shared" si="1"/>
        <v>15.95941965790462</v>
      </c>
      <c r="I15" s="68">
        <v>11.8</v>
      </c>
      <c r="J15" s="66"/>
      <c r="K15" s="68">
        <v>20.5</v>
      </c>
      <c r="L15" s="65">
        <v>19.4</v>
      </c>
      <c r="M15" s="65">
        <v>19</v>
      </c>
      <c r="N15" s="65"/>
      <c r="O15" s="66"/>
      <c r="P15" s="69" t="s">
        <v>106</v>
      </c>
      <c r="Q15" s="70">
        <v>24</v>
      </c>
      <c r="R15" s="67"/>
      <c r="S15" s="67">
        <v>0</v>
      </c>
      <c r="T15" s="67">
        <v>0</v>
      </c>
      <c r="U15" s="71"/>
      <c r="V15" s="64">
        <v>1010</v>
      </c>
      <c r="W15" s="121">
        <f t="shared" si="2"/>
        <v>1020.1024150590566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21.021735231055334</v>
      </c>
      <c r="AH15">
        <f t="shared" si="5"/>
        <v>19.24469765091116</v>
      </c>
      <c r="AI15">
        <f t="shared" si="6"/>
        <v>18.12609765091116</v>
      </c>
      <c r="AJ15">
        <f t="shared" si="12"/>
        <v>15.95941965790462</v>
      </c>
    </row>
    <row r="16" spans="1:36" ht="12.75">
      <c r="A16" s="72">
        <v>8</v>
      </c>
      <c r="B16" s="73">
        <v>18.7</v>
      </c>
      <c r="C16" s="74">
        <v>17</v>
      </c>
      <c r="D16" s="74">
        <v>25.6</v>
      </c>
      <c r="E16" s="74">
        <v>14.6</v>
      </c>
      <c r="F16" s="75">
        <f t="shared" si="0"/>
        <v>20.1</v>
      </c>
      <c r="G16" s="67">
        <f t="shared" si="7"/>
        <v>83.54755258374247</v>
      </c>
      <c r="H16" s="76">
        <f t="shared" si="1"/>
        <v>15.857870253369118</v>
      </c>
      <c r="I16" s="77">
        <v>10.6</v>
      </c>
      <c r="J16" s="75"/>
      <c r="K16" s="77">
        <v>22.1</v>
      </c>
      <c r="L16" s="74">
        <v>20.3</v>
      </c>
      <c r="M16" s="74">
        <v>19.2</v>
      </c>
      <c r="N16" s="74"/>
      <c r="O16" s="75"/>
      <c r="P16" s="78" t="s">
        <v>106</v>
      </c>
      <c r="Q16" s="79">
        <v>11</v>
      </c>
      <c r="R16" s="76"/>
      <c r="S16" s="76">
        <v>0</v>
      </c>
      <c r="T16" s="76">
        <v>0</v>
      </c>
      <c r="U16" s="80"/>
      <c r="V16" s="73">
        <v>1010</v>
      </c>
      <c r="W16" s="121">
        <f t="shared" si="2"/>
        <v>1020.0884883508201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21.555161928677002</v>
      </c>
      <c r="AH16">
        <f t="shared" si="5"/>
        <v>19.367110246872254</v>
      </c>
      <c r="AI16">
        <f t="shared" si="6"/>
        <v>18.008810246872255</v>
      </c>
      <c r="AJ16">
        <f t="shared" si="12"/>
        <v>15.857870253369118</v>
      </c>
    </row>
    <row r="17" spans="1:46" ht="12.75">
      <c r="A17" s="63">
        <v>9</v>
      </c>
      <c r="B17" s="64">
        <v>20.5</v>
      </c>
      <c r="C17" s="65">
        <v>19.2</v>
      </c>
      <c r="D17" s="65">
        <v>33.3</v>
      </c>
      <c r="E17" s="65">
        <v>12.9</v>
      </c>
      <c r="F17" s="66">
        <f t="shared" si="0"/>
        <v>23.099999999999998</v>
      </c>
      <c r="G17" s="67">
        <f t="shared" si="7"/>
        <v>87.94785619984759</v>
      </c>
      <c r="H17" s="67">
        <f t="shared" si="1"/>
        <v>18.434573131617267</v>
      </c>
      <c r="I17" s="68">
        <v>9.7</v>
      </c>
      <c r="J17" s="66"/>
      <c r="K17" s="68">
        <v>24.8</v>
      </c>
      <c r="L17" s="65">
        <v>22.1</v>
      </c>
      <c r="M17" s="65">
        <v>19.2</v>
      </c>
      <c r="N17" s="65"/>
      <c r="O17" s="66"/>
      <c r="P17" s="69" t="s">
        <v>106</v>
      </c>
      <c r="Q17" s="70">
        <v>12</v>
      </c>
      <c r="R17" s="67"/>
      <c r="S17" s="67">
        <v>0</v>
      </c>
      <c r="T17" s="67">
        <v>0</v>
      </c>
      <c r="U17" s="71"/>
      <c r="V17" s="64">
        <v>1009</v>
      </c>
      <c r="W17" s="121">
        <f t="shared" si="2"/>
        <v>1019.0163633779584</v>
      </c>
      <c r="X17" s="127">
        <v>0</v>
      </c>
      <c r="Y17" s="134">
        <v>0</v>
      </c>
      <c r="Z17" s="127">
        <v>0</v>
      </c>
      <c r="AA17">
        <f t="shared" si="8"/>
        <v>9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24.105069396165103</v>
      </c>
      <c r="AH17">
        <f t="shared" si="5"/>
        <v>22.238591769412757</v>
      </c>
      <c r="AI17">
        <f t="shared" si="6"/>
        <v>21.199891769412755</v>
      </c>
      <c r="AJ17">
        <f t="shared" si="12"/>
        <v>18.434573131617267</v>
      </c>
      <c r="AT17">
        <f aca="true" t="shared" si="13" ref="AT17:AT47">V9*(10^(85/(18429.1+(67.53*B9)+(0.003*31)))-1)</f>
        <v>10.142916087234065</v>
      </c>
    </row>
    <row r="18" spans="1:46" ht="12.75">
      <c r="A18" s="72">
        <v>10</v>
      </c>
      <c r="B18" s="73">
        <v>23.9</v>
      </c>
      <c r="C18" s="74">
        <v>21.2</v>
      </c>
      <c r="D18" s="74">
        <v>26.1</v>
      </c>
      <c r="E18" s="74">
        <v>16.8</v>
      </c>
      <c r="F18" s="75">
        <f t="shared" si="0"/>
        <v>21.450000000000003</v>
      </c>
      <c r="G18" s="67">
        <f t="shared" si="7"/>
        <v>77.60229956845767</v>
      </c>
      <c r="H18" s="76">
        <f t="shared" si="1"/>
        <v>19.747380878709084</v>
      </c>
      <c r="I18" s="77">
        <v>12.5</v>
      </c>
      <c r="J18" s="75"/>
      <c r="K18" s="77">
        <v>23.9</v>
      </c>
      <c r="L18" s="74">
        <v>21.4</v>
      </c>
      <c r="M18" s="74">
        <v>19.6</v>
      </c>
      <c r="N18" s="74"/>
      <c r="O18" s="75"/>
      <c r="P18" s="78" t="s">
        <v>102</v>
      </c>
      <c r="Q18" s="79">
        <v>21</v>
      </c>
      <c r="R18" s="76"/>
      <c r="S18" s="76">
        <v>2.6</v>
      </c>
      <c r="T18" s="76">
        <v>0.4</v>
      </c>
      <c r="U18" s="80"/>
      <c r="V18" s="73">
        <v>1006.5</v>
      </c>
      <c r="W18" s="121">
        <f t="shared" si="2"/>
        <v>1016.3765291502882</v>
      </c>
      <c r="X18" s="127">
        <v>0</v>
      </c>
      <c r="Y18" s="134">
        <v>0</v>
      </c>
      <c r="Z18" s="127">
        <v>1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29.649215139227</v>
      </c>
      <c r="AH18">
        <f t="shared" si="5"/>
        <v>25.165772752039437</v>
      </c>
      <c r="AI18">
        <f t="shared" si="6"/>
        <v>23.008472752039438</v>
      </c>
      <c r="AJ18">
        <f t="shared" si="12"/>
        <v>19.747380878709084</v>
      </c>
      <c r="AT18">
        <f t="shared" si="13"/>
        <v>10.201918399181272</v>
      </c>
    </row>
    <row r="19" spans="1:46" ht="12.75">
      <c r="A19" s="63">
        <v>11</v>
      </c>
      <c r="B19" s="64">
        <v>19.6</v>
      </c>
      <c r="C19" s="65">
        <v>18.5</v>
      </c>
      <c r="D19" s="65">
        <v>23.1</v>
      </c>
      <c r="E19" s="65">
        <v>18.4</v>
      </c>
      <c r="F19" s="66">
        <f t="shared" si="0"/>
        <v>20.75</v>
      </c>
      <c r="G19" s="67">
        <f t="shared" si="7"/>
        <v>89.51337217099251</v>
      </c>
      <c r="H19" s="67">
        <f t="shared" si="1"/>
        <v>17.828691431415002</v>
      </c>
      <c r="I19" s="68">
        <v>15.9</v>
      </c>
      <c r="J19" s="66"/>
      <c r="K19" s="68">
        <v>20.4</v>
      </c>
      <c r="L19" s="65">
        <v>19.9</v>
      </c>
      <c r="M19" s="65">
        <v>19.2</v>
      </c>
      <c r="N19" s="65"/>
      <c r="O19" s="66"/>
      <c r="P19" s="69" t="s">
        <v>102</v>
      </c>
      <c r="Q19" s="70">
        <v>25</v>
      </c>
      <c r="R19" s="67"/>
      <c r="S19" s="67">
        <v>1.6</v>
      </c>
      <c r="T19" s="67">
        <v>0.7</v>
      </c>
      <c r="U19" s="71"/>
      <c r="V19" s="64">
        <v>1009</v>
      </c>
      <c r="W19" s="121">
        <f t="shared" si="2"/>
        <v>1019.0473354964575</v>
      </c>
      <c r="X19" s="127">
        <v>0</v>
      </c>
      <c r="Y19" s="134">
        <v>0</v>
      </c>
      <c r="Z19" s="127">
        <v>1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22.79892311666162</v>
      </c>
      <c r="AH19">
        <f t="shared" si="5"/>
        <v>21.286984900395762</v>
      </c>
      <c r="AI19">
        <f t="shared" si="6"/>
        <v>20.40808490039576</v>
      </c>
      <c r="AJ19">
        <f t="shared" si="12"/>
        <v>17.828691431415002</v>
      </c>
      <c r="AT19">
        <f t="shared" si="13"/>
        <v>10.219116756074808</v>
      </c>
    </row>
    <row r="20" spans="1:46" ht="12.75">
      <c r="A20" s="72">
        <v>12</v>
      </c>
      <c r="B20" s="73">
        <v>19.6</v>
      </c>
      <c r="C20" s="74">
        <v>18.4</v>
      </c>
      <c r="D20" s="74">
        <v>25.7</v>
      </c>
      <c r="E20" s="74">
        <v>17.6</v>
      </c>
      <c r="F20" s="75">
        <f t="shared" si="0"/>
        <v>21.65</v>
      </c>
      <c r="G20" s="67">
        <f t="shared" si="7"/>
        <v>88.57960415380339</v>
      </c>
      <c r="H20" s="76">
        <f t="shared" si="1"/>
        <v>17.66227964171282</v>
      </c>
      <c r="I20" s="77">
        <v>13.9</v>
      </c>
      <c r="J20" s="75"/>
      <c r="K20" s="77">
        <v>21.9</v>
      </c>
      <c r="L20" s="74">
        <v>20.3</v>
      </c>
      <c r="M20" s="74">
        <v>19.1</v>
      </c>
      <c r="N20" s="74"/>
      <c r="O20" s="75"/>
      <c r="P20" s="78" t="s">
        <v>106</v>
      </c>
      <c r="Q20" s="79">
        <v>12</v>
      </c>
      <c r="R20" s="76"/>
      <c r="S20" s="76">
        <v>0</v>
      </c>
      <c r="T20" s="76">
        <v>0</v>
      </c>
      <c r="U20" s="80"/>
      <c r="V20" s="73">
        <v>1011</v>
      </c>
      <c r="W20" s="121">
        <f t="shared" si="2"/>
        <v>1021.0672509285616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22.79892311666162</v>
      </c>
      <c r="AH20">
        <f t="shared" si="5"/>
        <v>21.153995848068842</v>
      </c>
      <c r="AI20">
        <f t="shared" si="6"/>
        <v>20.19519584806884</v>
      </c>
      <c r="AJ20">
        <f t="shared" si="12"/>
        <v>17.66227964171282</v>
      </c>
      <c r="AT20">
        <f t="shared" si="13"/>
        <v>10.209941253788655</v>
      </c>
    </row>
    <row r="21" spans="1:46" ht="12.75">
      <c r="A21" s="63">
        <v>13</v>
      </c>
      <c r="B21" s="64">
        <v>18.7</v>
      </c>
      <c r="C21" s="65">
        <v>16</v>
      </c>
      <c r="D21" s="65">
        <v>23.4</v>
      </c>
      <c r="E21" s="65">
        <v>12.2</v>
      </c>
      <c r="F21" s="66">
        <f t="shared" si="0"/>
        <v>17.799999999999997</v>
      </c>
      <c r="G21" s="67">
        <f t="shared" si="7"/>
        <v>74.30171110839656</v>
      </c>
      <c r="H21" s="67">
        <f t="shared" si="1"/>
        <v>14.037055376972113</v>
      </c>
      <c r="I21" s="68">
        <v>7.6</v>
      </c>
      <c r="J21" s="66"/>
      <c r="K21" s="68">
        <v>18.4</v>
      </c>
      <c r="L21" s="65">
        <v>18.1</v>
      </c>
      <c r="M21" s="65">
        <v>17.5</v>
      </c>
      <c r="N21" s="65"/>
      <c r="O21" s="66"/>
      <c r="P21" s="69" t="s">
        <v>119</v>
      </c>
      <c r="Q21" s="70">
        <v>24</v>
      </c>
      <c r="R21" s="67"/>
      <c r="S21" s="67">
        <v>0</v>
      </c>
      <c r="T21" s="67">
        <v>0</v>
      </c>
      <c r="U21" s="71"/>
      <c r="V21" s="64">
        <v>1010.5</v>
      </c>
      <c r="W21" s="121">
        <f t="shared" si="2"/>
        <v>1020.5934826519838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21.555161928677002</v>
      </c>
      <c r="AH21">
        <f t="shared" si="5"/>
        <v>18.173154145192665</v>
      </c>
      <c r="AI21">
        <f t="shared" si="6"/>
        <v>16.015854145192666</v>
      </c>
      <c r="AJ21">
        <f t="shared" si="12"/>
        <v>14.037055376972113</v>
      </c>
      <c r="AT21">
        <f t="shared" si="13"/>
        <v>10.083701878589153</v>
      </c>
    </row>
    <row r="22" spans="1:46" ht="12.75">
      <c r="A22" s="72">
        <v>14</v>
      </c>
      <c r="B22" s="73">
        <v>16.2</v>
      </c>
      <c r="C22" s="74">
        <v>13.7</v>
      </c>
      <c r="D22" s="74">
        <v>22.9</v>
      </c>
      <c r="E22" s="74">
        <v>7.6</v>
      </c>
      <c r="F22" s="75">
        <f t="shared" si="0"/>
        <v>15.25</v>
      </c>
      <c r="G22" s="67">
        <f t="shared" si="7"/>
        <v>74.27475025240022</v>
      </c>
      <c r="H22" s="76">
        <f t="shared" si="1"/>
        <v>11.620798070188016</v>
      </c>
      <c r="I22" s="77">
        <v>3.5</v>
      </c>
      <c r="J22" s="75"/>
      <c r="K22" s="77">
        <v>17.9</v>
      </c>
      <c r="L22" s="74">
        <v>18.2</v>
      </c>
      <c r="M22" s="74">
        <v>16.1</v>
      </c>
      <c r="N22" s="74"/>
      <c r="O22" s="75"/>
      <c r="P22" s="78" t="s">
        <v>123</v>
      </c>
      <c r="Q22" s="79">
        <v>23</v>
      </c>
      <c r="R22" s="76"/>
      <c r="S22" s="76">
        <v>0</v>
      </c>
      <c r="T22" s="76">
        <v>0</v>
      </c>
      <c r="U22" s="80"/>
      <c r="V22" s="73">
        <v>1010.5</v>
      </c>
      <c r="W22" s="121">
        <f t="shared" si="2"/>
        <v>1020.6812034098836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18.406640869300837</v>
      </c>
      <c r="AH22">
        <f t="shared" si="5"/>
        <v>15.668986535529427</v>
      </c>
      <c r="AI22">
        <f t="shared" si="6"/>
        <v>13.671486535529427</v>
      </c>
      <c r="AJ22">
        <f t="shared" si="12"/>
        <v>11.620798070188016</v>
      </c>
      <c r="AT22">
        <f t="shared" si="13"/>
        <v>10.057702144193536</v>
      </c>
    </row>
    <row r="23" spans="1:46" ht="12.75">
      <c r="A23" s="63">
        <v>15</v>
      </c>
      <c r="B23" s="64">
        <v>15.3</v>
      </c>
      <c r="C23" s="65">
        <v>13.2</v>
      </c>
      <c r="D23" s="65">
        <v>24.2</v>
      </c>
      <c r="E23" s="65">
        <v>6.9</v>
      </c>
      <c r="F23" s="66">
        <f t="shared" si="0"/>
        <v>15.55</v>
      </c>
      <c r="G23" s="67">
        <f t="shared" si="7"/>
        <v>77.62699592481803</v>
      </c>
      <c r="H23" s="67">
        <f t="shared" si="1"/>
        <v>11.417413613484301</v>
      </c>
      <c r="I23" s="68">
        <v>3</v>
      </c>
      <c r="J23" s="66"/>
      <c r="K23" s="68">
        <v>17.2</v>
      </c>
      <c r="L23" s="65">
        <v>17.8</v>
      </c>
      <c r="M23" s="65">
        <v>16.1</v>
      </c>
      <c r="N23" s="65"/>
      <c r="O23" s="66"/>
      <c r="P23" s="69" t="s">
        <v>107</v>
      </c>
      <c r="Q23" s="70">
        <v>11</v>
      </c>
      <c r="R23" s="67"/>
      <c r="S23" s="67">
        <v>0</v>
      </c>
      <c r="T23" s="67">
        <v>0</v>
      </c>
      <c r="U23" s="71"/>
      <c r="V23" s="64">
        <v>1009</v>
      </c>
      <c r="W23" s="121">
        <f t="shared" si="2"/>
        <v>1019.1979967554296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17.376281118859826</v>
      </c>
      <c r="AH23">
        <f t="shared" si="5"/>
        <v>15.166585036022243</v>
      </c>
      <c r="AI23">
        <f t="shared" si="6"/>
        <v>13.488685036022241</v>
      </c>
      <c r="AJ23">
        <f t="shared" si="12"/>
        <v>11.417413613484301</v>
      </c>
      <c r="AT23">
        <f t="shared" si="13"/>
        <v>10.102415059056645</v>
      </c>
    </row>
    <row r="24" spans="1:46" ht="12.75">
      <c r="A24" s="72">
        <v>16</v>
      </c>
      <c r="B24" s="73">
        <v>17.6</v>
      </c>
      <c r="C24" s="74">
        <v>14.5</v>
      </c>
      <c r="D24" s="74">
        <v>24.5</v>
      </c>
      <c r="E24" s="74">
        <v>14.3</v>
      </c>
      <c r="F24" s="75">
        <f t="shared" si="0"/>
        <v>19.4</v>
      </c>
      <c r="G24" s="67">
        <f t="shared" si="7"/>
        <v>69.72729821410378</v>
      </c>
      <c r="H24" s="76">
        <f t="shared" si="1"/>
        <v>12.0088947531343</v>
      </c>
      <c r="I24" s="77">
        <v>10.7</v>
      </c>
      <c r="J24" s="75"/>
      <c r="K24" s="77">
        <v>21.3</v>
      </c>
      <c r="L24" s="74">
        <v>19.7</v>
      </c>
      <c r="M24" s="74">
        <v>17.6</v>
      </c>
      <c r="N24" s="74"/>
      <c r="O24" s="75"/>
      <c r="P24" s="78" t="s">
        <v>107</v>
      </c>
      <c r="Q24" s="79">
        <v>14</v>
      </c>
      <c r="R24" s="76"/>
      <c r="S24" s="76">
        <v>0</v>
      </c>
      <c r="T24" s="76">
        <v>0</v>
      </c>
      <c r="U24" s="80"/>
      <c r="V24" s="73">
        <v>1010</v>
      </c>
      <c r="W24" s="121">
        <f t="shared" si="2"/>
        <v>1020.126879543032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20.116024057681578</v>
      </c>
      <c r="AH24">
        <f t="shared" si="5"/>
        <v>16.503260083520495</v>
      </c>
      <c r="AI24">
        <f t="shared" si="6"/>
        <v>14.026360083520494</v>
      </c>
      <c r="AJ24">
        <f t="shared" si="12"/>
        <v>12.0088947531343</v>
      </c>
      <c r="AT24">
        <f t="shared" si="13"/>
        <v>10.088488350820061</v>
      </c>
    </row>
    <row r="25" spans="1:46" ht="12.75">
      <c r="A25" s="63">
        <v>17</v>
      </c>
      <c r="B25" s="64">
        <v>17.5</v>
      </c>
      <c r="C25" s="65">
        <v>14.5</v>
      </c>
      <c r="D25" s="65">
        <v>24.8</v>
      </c>
      <c r="E25" s="65">
        <v>8.9</v>
      </c>
      <c r="F25" s="66">
        <f t="shared" si="0"/>
        <v>16.85</v>
      </c>
      <c r="G25" s="67">
        <f t="shared" si="7"/>
        <v>70.56845472004208</v>
      </c>
      <c r="H25" s="67">
        <f t="shared" si="1"/>
        <v>12.095082872917057</v>
      </c>
      <c r="I25" s="68">
        <v>4.7</v>
      </c>
      <c r="J25" s="66"/>
      <c r="K25" s="68">
        <v>21.1</v>
      </c>
      <c r="L25" s="65">
        <v>19.2</v>
      </c>
      <c r="M25" s="65">
        <v>17.4</v>
      </c>
      <c r="N25" s="65"/>
      <c r="O25" s="66"/>
      <c r="P25" s="69" t="s">
        <v>107</v>
      </c>
      <c r="Q25" s="70">
        <v>14</v>
      </c>
      <c r="R25" s="67"/>
      <c r="S25" s="67" t="s">
        <v>127</v>
      </c>
      <c r="T25" s="67">
        <v>0</v>
      </c>
      <c r="U25" s="71"/>
      <c r="V25" s="64">
        <v>1006.5</v>
      </c>
      <c r="W25" s="121">
        <f t="shared" si="2"/>
        <v>1016.595278853536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19.989469996874096</v>
      </c>
      <c r="AH25">
        <f t="shared" si="5"/>
        <v>16.503260083520495</v>
      </c>
      <c r="AI25">
        <f t="shared" si="6"/>
        <v>14.106260083520494</v>
      </c>
      <c r="AJ25">
        <f t="shared" si="12"/>
        <v>12.095082872917057</v>
      </c>
      <c r="AT25">
        <f t="shared" si="13"/>
        <v>10.016363377958472</v>
      </c>
    </row>
    <row r="26" spans="1:46" ht="12.75">
      <c r="A26" s="72">
        <v>18</v>
      </c>
      <c r="B26" s="73">
        <v>19.7</v>
      </c>
      <c r="C26" s="74">
        <v>17</v>
      </c>
      <c r="D26" s="74">
        <v>22.9</v>
      </c>
      <c r="E26" s="74">
        <v>16.6</v>
      </c>
      <c r="F26" s="75">
        <f t="shared" si="0"/>
        <v>19.75</v>
      </c>
      <c r="G26" s="67">
        <f t="shared" si="7"/>
        <v>75.01795253844372</v>
      </c>
      <c r="H26" s="76">
        <f t="shared" si="1"/>
        <v>15.150218114485453</v>
      </c>
      <c r="I26" s="77">
        <v>13.8</v>
      </c>
      <c r="J26" s="75"/>
      <c r="K26" s="77">
        <v>20.9</v>
      </c>
      <c r="L26" s="74">
        <v>20.1</v>
      </c>
      <c r="M26" s="74">
        <v>18.6</v>
      </c>
      <c r="N26" s="74"/>
      <c r="O26" s="75"/>
      <c r="P26" s="78" t="s">
        <v>102</v>
      </c>
      <c r="Q26" s="79">
        <v>20</v>
      </c>
      <c r="R26" s="76"/>
      <c r="S26" s="76">
        <v>0</v>
      </c>
      <c r="T26" s="76">
        <v>0</v>
      </c>
      <c r="U26" s="80"/>
      <c r="V26" s="73">
        <v>1003</v>
      </c>
      <c r="W26" s="121">
        <f t="shared" si="2"/>
        <v>1012.9841589182872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22.94092235862197</v>
      </c>
      <c r="AH26">
        <f t="shared" si="5"/>
        <v>19.367110246872254</v>
      </c>
      <c r="AI26">
        <f t="shared" si="6"/>
        <v>17.209810246872255</v>
      </c>
      <c r="AJ26">
        <f t="shared" si="12"/>
        <v>15.150218114485453</v>
      </c>
      <c r="AT26">
        <f t="shared" si="13"/>
        <v>9.876529150288205</v>
      </c>
    </row>
    <row r="27" spans="1:46" ht="12.75">
      <c r="A27" s="63">
        <v>19</v>
      </c>
      <c r="B27" s="64">
        <v>16.9</v>
      </c>
      <c r="C27" s="65">
        <v>13</v>
      </c>
      <c r="D27" s="65">
        <v>19.9</v>
      </c>
      <c r="E27" s="65">
        <v>12</v>
      </c>
      <c r="F27" s="66">
        <f t="shared" si="0"/>
        <v>15.95</v>
      </c>
      <c r="G27" s="67">
        <f t="shared" si="7"/>
        <v>61.59370408418774</v>
      </c>
      <c r="H27" s="67">
        <f t="shared" si="1"/>
        <v>9.481609206884265</v>
      </c>
      <c r="I27" s="68">
        <v>7.6</v>
      </c>
      <c r="J27" s="66"/>
      <c r="K27" s="68">
        <v>20.1</v>
      </c>
      <c r="L27" s="65">
        <v>19.2</v>
      </c>
      <c r="M27" s="65">
        <v>17.2</v>
      </c>
      <c r="N27" s="65"/>
      <c r="O27" s="66"/>
      <c r="P27" s="69" t="s">
        <v>119</v>
      </c>
      <c r="Q27" s="70">
        <v>15</v>
      </c>
      <c r="R27" s="67"/>
      <c r="S27" s="67">
        <v>0</v>
      </c>
      <c r="T27" s="67">
        <v>0</v>
      </c>
      <c r="U27" s="71"/>
      <c r="V27" s="64">
        <v>1009</v>
      </c>
      <c r="W27" s="121">
        <f t="shared" si="2"/>
        <v>1019.1414118490795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19.24469765091116</v>
      </c>
      <c r="AH27">
        <f t="shared" si="5"/>
        <v>14.96962212299885</v>
      </c>
      <c r="AI27">
        <f t="shared" si="6"/>
        <v>11.85352212299885</v>
      </c>
      <c r="AJ27">
        <f t="shared" si="12"/>
        <v>9.481609206884265</v>
      </c>
      <c r="AT27">
        <f t="shared" si="13"/>
        <v>10.047335496457602</v>
      </c>
    </row>
    <row r="28" spans="1:46" ht="12.75">
      <c r="A28" s="72">
        <v>20</v>
      </c>
      <c r="B28" s="73">
        <v>16.3</v>
      </c>
      <c r="C28" s="74">
        <v>14.1</v>
      </c>
      <c r="D28" s="74">
        <v>21.6</v>
      </c>
      <c r="E28" s="74">
        <v>7.6</v>
      </c>
      <c r="F28" s="75">
        <f t="shared" si="0"/>
        <v>14.600000000000001</v>
      </c>
      <c r="G28" s="67">
        <f t="shared" si="7"/>
        <v>77.32287136410373</v>
      </c>
      <c r="H28" s="76">
        <f t="shared" si="1"/>
        <v>12.327345943004985</v>
      </c>
      <c r="I28" s="77">
        <v>3.1</v>
      </c>
      <c r="J28" s="75"/>
      <c r="K28" s="77">
        <v>21.1</v>
      </c>
      <c r="L28" s="74">
        <v>17.9</v>
      </c>
      <c r="M28" s="74">
        <v>16.2</v>
      </c>
      <c r="N28" s="74"/>
      <c r="O28" s="75"/>
      <c r="P28" s="78" t="s">
        <v>119</v>
      </c>
      <c r="Q28" s="79">
        <v>18</v>
      </c>
      <c r="R28" s="76"/>
      <c r="S28" s="76">
        <v>0</v>
      </c>
      <c r="T28" s="76">
        <v>0</v>
      </c>
      <c r="U28" s="80"/>
      <c r="V28" s="73">
        <v>1010.5</v>
      </c>
      <c r="W28" s="121">
        <f t="shared" si="2"/>
        <v>1020.6776653151173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18.524367818852948</v>
      </c>
      <c r="AH28">
        <f t="shared" si="5"/>
        <v>16.081373099585093</v>
      </c>
      <c r="AI28">
        <f t="shared" si="6"/>
        <v>14.323573099585092</v>
      </c>
      <c r="AJ28">
        <f t="shared" si="12"/>
        <v>12.327345943004985</v>
      </c>
      <c r="AT28">
        <f t="shared" si="13"/>
        <v>10.067250928561583</v>
      </c>
    </row>
    <row r="29" spans="1:46" ht="12.75">
      <c r="A29" s="63">
        <v>21</v>
      </c>
      <c r="B29" s="64">
        <v>17</v>
      </c>
      <c r="C29" s="65">
        <v>14.4</v>
      </c>
      <c r="D29" s="65">
        <v>22.9</v>
      </c>
      <c r="E29" s="65">
        <v>11.9</v>
      </c>
      <c r="F29" s="66">
        <f t="shared" si="0"/>
        <v>17.4</v>
      </c>
      <c r="G29" s="67">
        <f t="shared" si="7"/>
        <v>73.93714076961149</v>
      </c>
      <c r="H29" s="67">
        <f t="shared" si="1"/>
        <v>12.323008001847647</v>
      </c>
      <c r="I29" s="68">
        <v>7.1</v>
      </c>
      <c r="J29" s="66"/>
      <c r="K29" s="68">
        <v>18.9</v>
      </c>
      <c r="L29" s="65">
        <v>17.3</v>
      </c>
      <c r="M29" s="65">
        <v>16.5</v>
      </c>
      <c r="N29" s="65"/>
      <c r="O29" s="66"/>
      <c r="P29" s="69" t="s">
        <v>132</v>
      </c>
      <c r="Q29" s="70">
        <v>23</v>
      </c>
      <c r="R29" s="67"/>
      <c r="S29" s="67">
        <v>0</v>
      </c>
      <c r="T29" s="67">
        <v>0</v>
      </c>
      <c r="U29" s="71"/>
      <c r="V29" s="64">
        <v>1005.5</v>
      </c>
      <c r="W29" s="121">
        <f t="shared" si="2"/>
        <v>1015.602729993315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19.367110246872254</v>
      </c>
      <c r="AH29">
        <f t="shared" si="5"/>
        <v>16.39688756623579</v>
      </c>
      <c r="AI29">
        <f t="shared" si="6"/>
        <v>14.31948756623579</v>
      </c>
      <c r="AJ29">
        <f t="shared" si="12"/>
        <v>12.323008001847647</v>
      </c>
      <c r="AT29">
        <f t="shared" si="13"/>
        <v>10.093482651983834</v>
      </c>
    </row>
    <row r="30" spans="1:46" ht="12.75">
      <c r="A30" s="72">
        <v>22</v>
      </c>
      <c r="B30" s="73">
        <v>20.1</v>
      </c>
      <c r="C30" s="74">
        <v>17.9</v>
      </c>
      <c r="D30" s="74">
        <v>24.9</v>
      </c>
      <c r="E30" s="74">
        <v>17</v>
      </c>
      <c r="F30" s="75">
        <f t="shared" si="0"/>
        <v>20.95</v>
      </c>
      <c r="G30" s="67">
        <f t="shared" si="7"/>
        <v>79.69705017044203</v>
      </c>
      <c r="H30" s="76">
        <f t="shared" si="1"/>
        <v>16.483494997245856</v>
      </c>
      <c r="I30" s="77">
        <v>16.2</v>
      </c>
      <c r="J30" s="75"/>
      <c r="K30" s="77">
        <v>22.5</v>
      </c>
      <c r="L30" s="74">
        <v>20</v>
      </c>
      <c r="M30" s="74">
        <v>18.1</v>
      </c>
      <c r="N30" s="74"/>
      <c r="O30" s="75"/>
      <c r="P30" s="78" t="s">
        <v>132</v>
      </c>
      <c r="Q30" s="79">
        <v>18</v>
      </c>
      <c r="R30" s="76"/>
      <c r="S30" s="76">
        <v>0</v>
      </c>
      <c r="T30" s="76">
        <v>0</v>
      </c>
      <c r="U30" s="80"/>
      <c r="V30" s="73">
        <v>1004.5</v>
      </c>
      <c r="W30" s="121">
        <f t="shared" si="2"/>
        <v>1014.4853722803518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23.51669164104634</v>
      </c>
      <c r="AH30">
        <f t="shared" si="5"/>
        <v>20.49990953559285</v>
      </c>
      <c r="AI30">
        <f t="shared" si="6"/>
        <v>18.742109535592846</v>
      </c>
      <c r="AJ30">
        <f t="shared" si="12"/>
        <v>16.483494997245856</v>
      </c>
      <c r="AT30">
        <f t="shared" si="13"/>
        <v>10.181203409883528</v>
      </c>
    </row>
    <row r="31" spans="1:46" ht="12.75">
      <c r="A31" s="63">
        <v>23</v>
      </c>
      <c r="B31" s="64">
        <v>20.4</v>
      </c>
      <c r="C31" s="65">
        <v>18.5</v>
      </c>
      <c r="D31" s="65">
        <v>26.2</v>
      </c>
      <c r="E31" s="65">
        <v>18.5</v>
      </c>
      <c r="F31" s="66">
        <f t="shared" si="0"/>
        <v>22.35</v>
      </c>
      <c r="G31" s="67">
        <f t="shared" si="7"/>
        <v>82.51895587357674</v>
      </c>
      <c r="H31" s="67">
        <f t="shared" si="1"/>
        <v>17.324364703408854</v>
      </c>
      <c r="I31" s="68">
        <v>16.2</v>
      </c>
      <c r="J31" s="66"/>
      <c r="K31" s="68">
        <v>23.1</v>
      </c>
      <c r="L31" s="65">
        <v>20</v>
      </c>
      <c r="M31" s="65">
        <v>18.5</v>
      </c>
      <c r="N31" s="65"/>
      <c r="O31" s="66"/>
      <c r="P31" s="69" t="s">
        <v>102</v>
      </c>
      <c r="Q31" s="70">
        <v>16</v>
      </c>
      <c r="R31" s="67"/>
      <c r="S31" s="67">
        <v>0</v>
      </c>
      <c r="T31" s="67">
        <v>0</v>
      </c>
      <c r="U31" s="71"/>
      <c r="V31" s="64">
        <v>1008.5</v>
      </c>
      <c r="W31" s="121">
        <f t="shared" si="2"/>
        <v>1018.514830080898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23.956780222331826</v>
      </c>
      <c r="AH31">
        <f t="shared" si="5"/>
        <v>21.286984900395762</v>
      </c>
      <c r="AI31">
        <f t="shared" si="6"/>
        <v>19.76888490039576</v>
      </c>
      <c r="AJ31">
        <f t="shared" si="12"/>
        <v>17.324364703408854</v>
      </c>
      <c r="AT31">
        <f t="shared" si="13"/>
        <v>10.197996755429562</v>
      </c>
    </row>
    <row r="32" spans="1:46" ht="12.75">
      <c r="A32" s="72">
        <v>24</v>
      </c>
      <c r="B32" s="73">
        <v>19.1</v>
      </c>
      <c r="C32" s="74">
        <v>17.2</v>
      </c>
      <c r="D32" s="74">
        <v>24.3</v>
      </c>
      <c r="E32" s="74">
        <v>17.9</v>
      </c>
      <c r="F32" s="75">
        <f t="shared" si="0"/>
        <v>21.1</v>
      </c>
      <c r="G32" s="67">
        <f t="shared" si="7"/>
        <v>81.88032233078938</v>
      </c>
      <c r="H32" s="76">
        <f t="shared" si="1"/>
        <v>15.93331634741756</v>
      </c>
      <c r="I32" s="77">
        <v>14.8</v>
      </c>
      <c r="J32" s="75"/>
      <c r="K32" s="77">
        <v>22.1</v>
      </c>
      <c r="L32" s="74">
        <v>20</v>
      </c>
      <c r="M32" s="74">
        <v>18.6</v>
      </c>
      <c r="N32" s="74"/>
      <c r="O32" s="75"/>
      <c r="P32" s="78" t="s">
        <v>106</v>
      </c>
      <c r="Q32" s="79">
        <v>18</v>
      </c>
      <c r="R32" s="76"/>
      <c r="S32" s="76">
        <v>0</v>
      </c>
      <c r="T32" s="76">
        <v>0</v>
      </c>
      <c r="U32" s="80"/>
      <c r="V32" s="73">
        <v>1011</v>
      </c>
      <c r="W32" s="121">
        <f t="shared" si="2"/>
        <v>1021.0845748382759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22.100407719188595</v>
      </c>
      <c r="AH32">
        <f t="shared" si="5"/>
        <v>19.61398507689028</v>
      </c>
      <c r="AI32">
        <f t="shared" si="6"/>
        <v>18.09588507689028</v>
      </c>
      <c r="AJ32">
        <f t="shared" si="12"/>
        <v>15.93331634741756</v>
      </c>
      <c r="AT32">
        <f t="shared" si="13"/>
        <v>10.126879543032047</v>
      </c>
    </row>
    <row r="33" spans="1:46" ht="12.75">
      <c r="A33" s="63">
        <v>25</v>
      </c>
      <c r="B33" s="64">
        <v>17.4</v>
      </c>
      <c r="C33" s="65">
        <v>14.9</v>
      </c>
      <c r="D33" s="65">
        <v>19.3</v>
      </c>
      <c r="E33" s="65">
        <v>14.9</v>
      </c>
      <c r="F33" s="66">
        <f t="shared" si="0"/>
        <v>17.1</v>
      </c>
      <c r="G33" s="67">
        <f t="shared" si="7"/>
        <v>75.19947257240372</v>
      </c>
      <c r="H33" s="67">
        <f t="shared" si="1"/>
        <v>12.966992857627908</v>
      </c>
      <c r="I33" s="68">
        <v>11.9</v>
      </c>
      <c r="J33" s="66"/>
      <c r="K33" s="68">
        <v>22.2</v>
      </c>
      <c r="L33" s="65">
        <v>19.5</v>
      </c>
      <c r="M33" s="65">
        <v>18.1</v>
      </c>
      <c r="N33" s="65"/>
      <c r="O33" s="66"/>
      <c r="P33" s="69" t="s">
        <v>107</v>
      </c>
      <c r="Q33" s="70">
        <v>19</v>
      </c>
      <c r="R33" s="67"/>
      <c r="S33" s="67">
        <v>0</v>
      </c>
      <c r="T33" s="67">
        <v>0</v>
      </c>
      <c r="U33" s="71"/>
      <c r="V33" s="64">
        <v>1010</v>
      </c>
      <c r="W33" s="121">
        <f t="shared" si="2"/>
        <v>1020.133891173714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19.863614328178834</v>
      </c>
      <c r="AH33">
        <f t="shared" si="5"/>
        <v>16.934833208606896</v>
      </c>
      <c r="AI33">
        <f t="shared" si="6"/>
        <v>14.937333208606898</v>
      </c>
      <c r="AJ33">
        <f t="shared" si="12"/>
        <v>12.966992857627908</v>
      </c>
      <c r="AT33">
        <f t="shared" si="13"/>
        <v>10.095278853535994</v>
      </c>
    </row>
    <row r="34" spans="1:46" ht="12.75">
      <c r="A34" s="72">
        <v>26</v>
      </c>
      <c r="B34" s="73">
        <v>16</v>
      </c>
      <c r="C34" s="74">
        <v>14</v>
      </c>
      <c r="D34" s="74">
        <v>21.1</v>
      </c>
      <c r="E34" s="74">
        <v>14.6</v>
      </c>
      <c r="F34" s="75">
        <f t="shared" si="0"/>
        <v>17.85</v>
      </c>
      <c r="G34" s="67">
        <f t="shared" si="7"/>
        <v>79.12436592081538</v>
      </c>
      <c r="H34" s="76">
        <f t="shared" si="1"/>
        <v>12.386505748960722</v>
      </c>
      <c r="I34" s="77">
        <v>13.3</v>
      </c>
      <c r="J34" s="75"/>
      <c r="K34" s="77">
        <v>19.9</v>
      </c>
      <c r="L34" s="74">
        <v>17.9</v>
      </c>
      <c r="M34" s="74">
        <v>17.1</v>
      </c>
      <c r="N34" s="74"/>
      <c r="O34" s="75"/>
      <c r="P34" s="78" t="s">
        <v>107</v>
      </c>
      <c r="Q34" s="79">
        <v>18</v>
      </c>
      <c r="R34" s="76"/>
      <c r="S34" s="76">
        <v>0</v>
      </c>
      <c r="T34" s="76">
        <v>0</v>
      </c>
      <c r="U34" s="80"/>
      <c r="V34" s="73">
        <v>1008</v>
      </c>
      <c r="W34" s="121">
        <f t="shared" si="2"/>
        <v>1018.1630809303498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26</v>
      </c>
      <c r="AG34">
        <f t="shared" si="11"/>
        <v>18.173154145192665</v>
      </c>
      <c r="AH34">
        <f t="shared" si="5"/>
        <v>15.977392985196072</v>
      </c>
      <c r="AI34">
        <f t="shared" si="6"/>
        <v>14.379392985196072</v>
      </c>
      <c r="AJ34">
        <f t="shared" si="12"/>
        <v>12.386505748960722</v>
      </c>
      <c r="AT34">
        <f t="shared" si="13"/>
        <v>9.984158918287186</v>
      </c>
    </row>
    <row r="35" spans="1:46" ht="12.75">
      <c r="A35" s="63">
        <v>27</v>
      </c>
      <c r="B35" s="64">
        <v>15.2</v>
      </c>
      <c r="C35" s="65">
        <v>12.5</v>
      </c>
      <c r="D35" s="65">
        <v>21.8</v>
      </c>
      <c r="E35" s="65">
        <v>13.6</v>
      </c>
      <c r="F35" s="66">
        <f t="shared" si="0"/>
        <v>17.7</v>
      </c>
      <c r="G35" s="67">
        <f t="shared" si="7"/>
        <v>71.41458137158357</v>
      </c>
      <c r="H35" s="67">
        <f t="shared" si="1"/>
        <v>10.068449817026885</v>
      </c>
      <c r="I35" s="68">
        <v>12.9</v>
      </c>
      <c r="J35" s="66"/>
      <c r="K35" s="68">
        <v>20.5</v>
      </c>
      <c r="L35" s="65">
        <v>18.6</v>
      </c>
      <c r="M35" s="65">
        <v>17.1</v>
      </c>
      <c r="N35" s="65"/>
      <c r="O35" s="66"/>
      <c r="P35" s="69" t="s">
        <v>106</v>
      </c>
      <c r="Q35" s="70">
        <v>14</v>
      </c>
      <c r="R35" s="67"/>
      <c r="S35" s="67">
        <v>1</v>
      </c>
      <c r="T35" s="67">
        <v>1</v>
      </c>
      <c r="U35" s="71"/>
      <c r="V35" s="64">
        <v>1007</v>
      </c>
      <c r="W35" s="121">
        <f t="shared" si="2"/>
        <v>1017.1813331665253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17.264982952894922</v>
      </c>
      <c r="AH35">
        <f t="shared" si="5"/>
        <v>14.487015299685174</v>
      </c>
      <c r="AI35">
        <f t="shared" si="6"/>
        <v>12.329715299685175</v>
      </c>
      <c r="AJ35">
        <f t="shared" si="12"/>
        <v>10.068449817026885</v>
      </c>
      <c r="AT35">
        <f t="shared" si="13"/>
        <v>10.141411849079537</v>
      </c>
    </row>
    <row r="36" spans="1:46" ht="12.75">
      <c r="A36" s="72">
        <v>28</v>
      </c>
      <c r="B36" s="73">
        <v>13.2</v>
      </c>
      <c r="C36" s="74">
        <v>12.2</v>
      </c>
      <c r="D36" s="74">
        <v>14.5</v>
      </c>
      <c r="E36" s="74">
        <v>13.1</v>
      </c>
      <c r="F36" s="75">
        <f t="shared" si="0"/>
        <v>13.8</v>
      </c>
      <c r="G36" s="67">
        <f t="shared" si="7"/>
        <v>88.3855027807813</v>
      </c>
      <c r="H36" s="76">
        <f t="shared" si="1"/>
        <v>11.32356619842408</v>
      </c>
      <c r="I36" s="77">
        <v>11.7</v>
      </c>
      <c r="J36" s="75"/>
      <c r="K36" s="77">
        <v>15.7</v>
      </c>
      <c r="L36" s="74">
        <v>16.1</v>
      </c>
      <c r="M36" s="74">
        <v>16.8</v>
      </c>
      <c r="N36" s="74"/>
      <c r="O36" s="75"/>
      <c r="P36" s="78" t="s">
        <v>107</v>
      </c>
      <c r="Q36" s="79">
        <v>19</v>
      </c>
      <c r="R36" s="76"/>
      <c r="S36" s="76">
        <v>7</v>
      </c>
      <c r="T36" s="76">
        <v>12.6</v>
      </c>
      <c r="U36" s="80"/>
      <c r="V36" s="73">
        <v>1001</v>
      </c>
      <c r="W36" s="121">
        <f t="shared" si="2"/>
        <v>1011.1917770038997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28</v>
      </c>
      <c r="AE36">
        <f t="shared" si="4"/>
        <v>28</v>
      </c>
      <c r="AG36">
        <f t="shared" si="11"/>
        <v>15.166585036022243</v>
      </c>
      <c r="AH36">
        <f t="shared" si="5"/>
        <v>14.204062438763</v>
      </c>
      <c r="AI36">
        <f t="shared" si="6"/>
        <v>13.405062438763</v>
      </c>
      <c r="AJ36">
        <f t="shared" si="12"/>
        <v>11.32356619842408</v>
      </c>
      <c r="AT36">
        <f t="shared" si="13"/>
        <v>10.177665315117348</v>
      </c>
    </row>
    <row r="37" spans="1:46" ht="12.75">
      <c r="A37" s="63">
        <v>29</v>
      </c>
      <c r="B37" s="64">
        <v>14.1</v>
      </c>
      <c r="C37" s="65">
        <v>12.6</v>
      </c>
      <c r="D37" s="65">
        <v>18</v>
      </c>
      <c r="E37" s="65">
        <v>9.5</v>
      </c>
      <c r="F37" s="66">
        <f t="shared" si="0"/>
        <v>13.75</v>
      </c>
      <c r="G37" s="67">
        <f t="shared" si="7"/>
        <v>83.22627353110849</v>
      </c>
      <c r="H37" s="67">
        <f t="shared" si="1"/>
        <v>11.299765596348173</v>
      </c>
      <c r="I37" s="68">
        <v>6.8</v>
      </c>
      <c r="J37" s="66"/>
      <c r="K37" s="68">
        <v>14</v>
      </c>
      <c r="L37" s="65">
        <v>15</v>
      </c>
      <c r="M37" s="65">
        <v>14.1</v>
      </c>
      <c r="N37" s="65"/>
      <c r="O37" s="66"/>
      <c r="P37" s="69" t="s">
        <v>123</v>
      </c>
      <c r="Q37" s="70">
        <v>26</v>
      </c>
      <c r="R37" s="67"/>
      <c r="S37" s="67">
        <v>0.3</v>
      </c>
      <c r="T37" s="67">
        <v>0.1</v>
      </c>
      <c r="U37" s="71"/>
      <c r="V37" s="64">
        <v>999.5</v>
      </c>
      <c r="W37" s="121">
        <f t="shared" si="2"/>
        <v>1009.6444312491626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16.081373099585093</v>
      </c>
      <c r="AH37">
        <f t="shared" si="5"/>
        <v>14.58242756341879</v>
      </c>
      <c r="AI37">
        <f t="shared" si="6"/>
        <v>13.38392756341879</v>
      </c>
      <c r="AJ37">
        <f t="shared" si="12"/>
        <v>11.299765596348173</v>
      </c>
      <c r="AT37">
        <f t="shared" si="13"/>
        <v>10.102729993315004</v>
      </c>
    </row>
    <row r="38" spans="1:46" ht="12.75">
      <c r="A38" s="72">
        <v>30</v>
      </c>
      <c r="B38" s="73">
        <v>12.6</v>
      </c>
      <c r="C38" s="74">
        <v>10.3</v>
      </c>
      <c r="D38" s="74">
        <v>19</v>
      </c>
      <c r="E38" s="74">
        <v>3.5</v>
      </c>
      <c r="F38" s="75">
        <f t="shared" si="0"/>
        <v>11.25</v>
      </c>
      <c r="G38" s="67">
        <f t="shared" si="7"/>
        <v>73.26962249681652</v>
      </c>
      <c r="H38" s="76">
        <f t="shared" si="1"/>
        <v>7.947760294675755</v>
      </c>
      <c r="I38" s="77">
        <v>-0.7</v>
      </c>
      <c r="J38" s="75"/>
      <c r="K38" s="77">
        <v>10.6</v>
      </c>
      <c r="L38" s="74">
        <v>12.4</v>
      </c>
      <c r="M38" s="74">
        <v>12.3</v>
      </c>
      <c r="N38" s="74"/>
      <c r="O38" s="75"/>
      <c r="P38" s="78" t="s">
        <v>123</v>
      </c>
      <c r="Q38" s="79">
        <v>25</v>
      </c>
      <c r="R38" s="76"/>
      <c r="S38" s="76">
        <v>0</v>
      </c>
      <c r="T38" s="76">
        <v>0</v>
      </c>
      <c r="U38" s="80"/>
      <c r="V38" s="73">
        <v>1007.5</v>
      </c>
      <c r="W38" s="121">
        <f t="shared" si="2"/>
        <v>1017.7796245721065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30</v>
      </c>
      <c r="AC38">
        <f t="shared" si="10"/>
        <v>30</v>
      </c>
      <c r="AD38">
        <f>IF((MAX($S$9:$S$39)=$S38),A38,0)</f>
        <v>0</v>
      </c>
      <c r="AE38">
        <f t="shared" si="4"/>
        <v>30</v>
      </c>
      <c r="AG38">
        <f t="shared" si="11"/>
        <v>14.58242756341879</v>
      </c>
      <c r="AH38">
        <f t="shared" si="5"/>
        <v>12.522189626588666</v>
      </c>
      <c r="AI38">
        <f t="shared" si="6"/>
        <v>10.684489626588666</v>
      </c>
      <c r="AJ38">
        <f t="shared" si="12"/>
        <v>7.947760294675755</v>
      </c>
      <c r="AT38">
        <f t="shared" si="13"/>
        <v>9.985372280351804</v>
      </c>
    </row>
    <row r="39" spans="1:46" ht="12.75">
      <c r="A39" s="63">
        <v>31</v>
      </c>
      <c r="B39" s="64">
        <v>14</v>
      </c>
      <c r="C39" s="65">
        <v>11.5</v>
      </c>
      <c r="D39" s="65">
        <v>17.6</v>
      </c>
      <c r="E39" s="65">
        <v>6.7</v>
      </c>
      <c r="F39" s="66">
        <f t="shared" si="0"/>
        <v>12.15</v>
      </c>
      <c r="G39" s="67">
        <f t="shared" si="7"/>
        <v>72.38447880966767</v>
      </c>
      <c r="H39" s="67">
        <f t="shared" si="1"/>
        <v>9.116064589503628</v>
      </c>
      <c r="I39" s="68">
        <v>1.6</v>
      </c>
      <c r="J39" s="66"/>
      <c r="K39" s="68">
        <v>12.5</v>
      </c>
      <c r="L39" s="65">
        <v>12.7</v>
      </c>
      <c r="M39" s="65">
        <v>13</v>
      </c>
      <c r="N39" s="65"/>
      <c r="O39" s="66"/>
      <c r="P39" s="69" t="s">
        <v>119</v>
      </c>
      <c r="Q39" s="70">
        <v>22</v>
      </c>
      <c r="R39" s="67"/>
      <c r="S39" s="67">
        <v>0</v>
      </c>
      <c r="T39" s="67">
        <v>0</v>
      </c>
      <c r="U39" s="71"/>
      <c r="V39" s="64">
        <v>1010</v>
      </c>
      <c r="W39" s="121">
        <f t="shared" si="2"/>
        <v>1020.2545921145553</v>
      </c>
      <c r="X39" s="127">
        <v>0</v>
      </c>
      <c r="Y39" s="134">
        <v>0</v>
      </c>
      <c r="Z39" s="127">
        <v>0</v>
      </c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31</v>
      </c>
      <c r="AG39">
        <f t="shared" si="11"/>
        <v>15.977392985196072</v>
      </c>
      <c r="AH39">
        <f t="shared" si="5"/>
        <v>13.56265263970658</v>
      </c>
      <c r="AI39">
        <f t="shared" si="6"/>
        <v>11.565152639706579</v>
      </c>
      <c r="AJ39">
        <f t="shared" si="12"/>
        <v>9.116064589503628</v>
      </c>
      <c r="AT39">
        <f t="shared" si="13"/>
        <v>10.014830080898092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10.084574838275904</v>
      </c>
    </row>
    <row r="41" spans="1:46" ht="13.5" thickBot="1">
      <c r="A41" s="113" t="s">
        <v>22</v>
      </c>
      <c r="B41" s="114">
        <f>SUM(B9:B39)</f>
        <v>540.6</v>
      </c>
      <c r="C41" s="115">
        <f aca="true" t="shared" si="14" ref="C41:U41">SUM(C9:C39)</f>
        <v>476.2999999999999</v>
      </c>
      <c r="D41" s="115">
        <f t="shared" si="14"/>
        <v>736.6999999999999</v>
      </c>
      <c r="E41" s="115">
        <f t="shared" si="14"/>
        <v>398.40000000000003</v>
      </c>
      <c r="F41" s="116">
        <f t="shared" si="14"/>
        <v>567.55</v>
      </c>
      <c r="G41" s="117">
        <f t="shared" si="14"/>
        <v>2458.008979405601</v>
      </c>
      <c r="H41" s="117">
        <f>SUM(H9:H39)</f>
        <v>426.7246093317668</v>
      </c>
      <c r="I41" s="118">
        <f t="shared" si="14"/>
        <v>294</v>
      </c>
      <c r="J41" s="116">
        <f t="shared" si="14"/>
        <v>0</v>
      </c>
      <c r="K41" s="118">
        <f t="shared" si="14"/>
        <v>602.7000000000002</v>
      </c>
      <c r="L41" s="115">
        <f t="shared" si="14"/>
        <v>565.7</v>
      </c>
      <c r="M41" s="115">
        <f t="shared" si="14"/>
        <v>532.6000000000001</v>
      </c>
      <c r="N41" s="115">
        <f t="shared" si="14"/>
        <v>0</v>
      </c>
      <c r="O41" s="116">
        <f t="shared" si="14"/>
        <v>0</v>
      </c>
      <c r="P41" s="114"/>
      <c r="Q41" s="119">
        <f t="shared" si="14"/>
        <v>553</v>
      </c>
      <c r="R41" s="117">
        <f t="shared" si="14"/>
        <v>0</v>
      </c>
      <c r="S41" s="117">
        <f>SUM(S9:S39)</f>
        <v>12.8</v>
      </c>
      <c r="T41" s="139">
        <v>15.1</v>
      </c>
      <c r="U41" s="119">
        <f t="shared" si="14"/>
        <v>0</v>
      </c>
      <c r="V41" s="117">
        <f>SUM(V9:V39)</f>
        <v>31262</v>
      </c>
      <c r="W41" s="123">
        <f>SUM(W9:W39)</f>
        <v>31575.647993581708</v>
      </c>
      <c r="X41" s="117">
        <f>SUM(X9:X39)</f>
        <v>0</v>
      </c>
      <c r="Y41" s="123">
        <f>SUM(Y9:Y39)</f>
        <v>0</v>
      </c>
      <c r="Z41" s="138">
        <f>SUM(Z9:Z39)</f>
        <v>2</v>
      </c>
      <c r="AA41">
        <f>MAX(AA9:AA39)</f>
        <v>9</v>
      </c>
      <c r="AB41">
        <f>MAX(AB9:AB39)</f>
        <v>30</v>
      </c>
      <c r="AC41">
        <f>MAX(AC9:AC39)</f>
        <v>30</v>
      </c>
      <c r="AD41">
        <f>MAX(AD9:AD39)</f>
        <v>28</v>
      </c>
      <c r="AE41">
        <f>MAX(AE9:AE39)</f>
        <v>31</v>
      </c>
      <c r="AT41">
        <f t="shared" si="13"/>
        <v>10.13389117371399</v>
      </c>
    </row>
    <row r="42" spans="1:46" ht="12.75">
      <c r="A42" s="72" t="s">
        <v>23</v>
      </c>
      <c r="B42" s="73">
        <f>AVERAGE(B9:B39)</f>
        <v>17.438709677419357</v>
      </c>
      <c r="C42" s="74">
        <f aca="true" t="shared" si="15" ref="C42:U42">AVERAGE(C9:C39)</f>
        <v>15.364516129032255</v>
      </c>
      <c r="D42" s="74">
        <f t="shared" si="15"/>
        <v>23.764516129032256</v>
      </c>
      <c r="E42" s="74">
        <f t="shared" si="15"/>
        <v>12.851612903225808</v>
      </c>
      <c r="F42" s="75">
        <f t="shared" si="15"/>
        <v>18.30806451612903</v>
      </c>
      <c r="G42" s="76">
        <f t="shared" si="15"/>
        <v>79.29061223889036</v>
      </c>
      <c r="H42" s="76">
        <f>AVERAGE(H9:H39)</f>
        <v>13.76530997844409</v>
      </c>
      <c r="I42" s="77">
        <f t="shared" si="15"/>
        <v>9.483870967741936</v>
      </c>
      <c r="J42" s="75" t="e">
        <f t="shared" si="15"/>
        <v>#DIV/0!</v>
      </c>
      <c r="K42" s="77">
        <f t="shared" si="15"/>
        <v>19.441935483870974</v>
      </c>
      <c r="L42" s="74">
        <f t="shared" si="15"/>
        <v>18.248387096774195</v>
      </c>
      <c r="M42" s="74">
        <f t="shared" si="15"/>
        <v>17.180645161290325</v>
      </c>
      <c r="N42" s="74" t="e">
        <f t="shared" si="15"/>
        <v>#DIV/0!</v>
      </c>
      <c r="O42" s="75" t="e">
        <f t="shared" si="15"/>
        <v>#DIV/0!</v>
      </c>
      <c r="P42" s="73"/>
      <c r="Q42" s="75">
        <f t="shared" si="15"/>
        <v>17.838709677419356</v>
      </c>
      <c r="R42" s="76" t="e">
        <f t="shared" si="15"/>
        <v>#DIV/0!</v>
      </c>
      <c r="S42" s="76">
        <f>AVERAGE(S9:S39)</f>
        <v>0.4266666666666667</v>
      </c>
      <c r="T42" s="76">
        <v>0.3</v>
      </c>
      <c r="U42" s="76" t="e">
        <f t="shared" si="15"/>
        <v>#DIV/0!</v>
      </c>
      <c r="V42" s="76">
        <f>AVERAGE(V9:V39)</f>
        <v>1008.4516129032259</v>
      </c>
      <c r="W42" s="124">
        <f>AVERAGE(W9:W39)</f>
        <v>1018.5692901155389</v>
      </c>
      <c r="X42" s="127"/>
      <c r="Y42" s="134"/>
      <c r="Z42" s="130"/>
      <c r="AT42">
        <f t="shared" si="13"/>
        <v>10.163080930349839</v>
      </c>
    </row>
    <row r="43" spans="1:46" ht="12.75">
      <c r="A43" s="72" t="s">
        <v>24</v>
      </c>
      <c r="B43" s="73">
        <f>MAX(B9:B39)</f>
        <v>23.9</v>
      </c>
      <c r="C43" s="74">
        <f aca="true" t="shared" si="16" ref="C43:U43">MAX(C9:C39)</f>
        <v>21.2</v>
      </c>
      <c r="D43" s="74">
        <f t="shared" si="16"/>
        <v>33.3</v>
      </c>
      <c r="E43" s="74">
        <f t="shared" si="16"/>
        <v>18.5</v>
      </c>
      <c r="F43" s="75">
        <f t="shared" si="16"/>
        <v>23.35</v>
      </c>
      <c r="G43" s="76">
        <f t="shared" si="16"/>
        <v>92.53749230597053</v>
      </c>
      <c r="H43" s="76">
        <f>MAX(H9:H39)</f>
        <v>19.747380878709084</v>
      </c>
      <c r="I43" s="77">
        <f t="shared" si="16"/>
        <v>16.2</v>
      </c>
      <c r="J43" s="75">
        <f t="shared" si="16"/>
        <v>0</v>
      </c>
      <c r="K43" s="77">
        <f t="shared" si="16"/>
        <v>24.8</v>
      </c>
      <c r="L43" s="74">
        <f t="shared" si="16"/>
        <v>22.1</v>
      </c>
      <c r="M43" s="74">
        <f t="shared" si="16"/>
        <v>19.6</v>
      </c>
      <c r="N43" s="74">
        <f t="shared" si="16"/>
        <v>0</v>
      </c>
      <c r="O43" s="75">
        <f t="shared" si="16"/>
        <v>0</v>
      </c>
      <c r="P43" s="73"/>
      <c r="Q43" s="70">
        <f t="shared" si="16"/>
        <v>26</v>
      </c>
      <c r="R43" s="76">
        <f t="shared" si="16"/>
        <v>0</v>
      </c>
      <c r="S43" s="76">
        <f>MAX(S9:S39)</f>
        <v>7</v>
      </c>
      <c r="T43" s="140">
        <v>7</v>
      </c>
      <c r="U43" s="70">
        <f t="shared" si="16"/>
        <v>0</v>
      </c>
      <c r="V43" s="76">
        <f>MAX(V9:V39)</f>
        <v>1013</v>
      </c>
      <c r="W43" s="124">
        <f>MAX(W9:W39)</f>
        <v>1023.2099412537887</v>
      </c>
      <c r="X43" s="127"/>
      <c r="Y43" s="134"/>
      <c r="Z43" s="127"/>
      <c r="AT43">
        <f t="shared" si="13"/>
        <v>10.181333166525304</v>
      </c>
    </row>
    <row r="44" spans="1:46" ht="13.5" thickBot="1">
      <c r="A44" s="81" t="s">
        <v>25</v>
      </c>
      <c r="B44" s="82">
        <f>MIN(B9:B39)</f>
        <v>12.6</v>
      </c>
      <c r="C44" s="83">
        <f aca="true" t="shared" si="17" ref="C44:U44">MIN(C9:C39)</f>
        <v>10.3</v>
      </c>
      <c r="D44" s="83">
        <f t="shared" si="17"/>
        <v>14.5</v>
      </c>
      <c r="E44" s="83">
        <f t="shared" si="17"/>
        <v>3.5</v>
      </c>
      <c r="F44" s="84">
        <f t="shared" si="17"/>
        <v>11.25</v>
      </c>
      <c r="G44" s="85">
        <f t="shared" si="17"/>
        <v>61.59370408418774</v>
      </c>
      <c r="H44" s="85">
        <f>MIN(H9:H39)</f>
        <v>7.947760294675755</v>
      </c>
      <c r="I44" s="86">
        <f t="shared" si="17"/>
        <v>-0.7</v>
      </c>
      <c r="J44" s="84">
        <f t="shared" si="17"/>
        <v>0</v>
      </c>
      <c r="K44" s="86">
        <f t="shared" si="17"/>
        <v>10.6</v>
      </c>
      <c r="L44" s="83">
        <f t="shared" si="17"/>
        <v>12.4</v>
      </c>
      <c r="M44" s="83">
        <f t="shared" si="17"/>
        <v>12.3</v>
      </c>
      <c r="N44" s="83">
        <f t="shared" si="17"/>
        <v>0</v>
      </c>
      <c r="O44" s="84">
        <f t="shared" si="17"/>
        <v>0</v>
      </c>
      <c r="P44" s="82"/>
      <c r="Q44" s="120">
        <f t="shared" si="17"/>
        <v>8</v>
      </c>
      <c r="R44" s="85">
        <f t="shared" si="17"/>
        <v>0</v>
      </c>
      <c r="S44" s="85">
        <f>MIN(S9:S39)</f>
        <v>0</v>
      </c>
      <c r="T44" s="141">
        <v>0</v>
      </c>
      <c r="U44" s="120">
        <f t="shared" si="17"/>
        <v>0</v>
      </c>
      <c r="V44" s="85">
        <f>MIN(V9:V39)</f>
        <v>999.5</v>
      </c>
      <c r="W44" s="125">
        <f>MIN(W9:W39)</f>
        <v>1009.6444312491626</v>
      </c>
      <c r="X44" s="128"/>
      <c r="Y44" s="136"/>
      <c r="Z44" s="128"/>
      <c r="AT44">
        <f t="shared" si="13"/>
        <v>10.191777003899665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10.144431249162606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10.279624572106524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10.254592114555344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1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7</v>
      </c>
      <c r="C61">
        <f>DCOUNTA(S8:S38,1,C59:C60)</f>
        <v>5</v>
      </c>
      <c r="D61">
        <f>DCOUNTA(S8:S38,1,D59:D60)</f>
        <v>2</v>
      </c>
      <c r="F61">
        <f>DCOUNTA(S8:S38,1,F59:F60)</f>
        <v>1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6</v>
      </c>
      <c r="C64">
        <f>(C61-F61)</f>
        <v>4</v>
      </c>
      <c r="D64">
        <f>(D61-F61)</f>
        <v>1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5">
      <selection activeCell="E18" sqref="E18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0" t="s">
        <v>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125</v>
      </c>
      <c r="I4" s="60" t="s">
        <v>59</v>
      </c>
      <c r="J4" s="59">
        <v>2003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 t="s">
        <v>146</v>
      </c>
      <c r="E6" s="3"/>
      <c r="F6" s="3"/>
      <c r="G6" s="151" t="s">
        <v>60</v>
      </c>
      <c r="H6" s="152"/>
      <c r="I6" s="152"/>
      <c r="J6" s="152"/>
      <c r="K6" s="152"/>
      <c r="L6" s="152"/>
      <c r="M6" s="152"/>
      <c r="N6" s="153"/>
    </row>
    <row r="7" spans="1:25" ht="12.75">
      <c r="A7" s="27" t="s">
        <v>32</v>
      </c>
      <c r="B7" s="3"/>
      <c r="C7" s="22">
        <f>Data1!$D$42</f>
        <v>23.764516129032256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12.851612903225808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18.30806451612903</v>
      </c>
      <c r="D9" s="5">
        <v>1.9</v>
      </c>
      <c r="E9" s="3"/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33.3</v>
      </c>
      <c r="C10" s="5" t="s">
        <v>35</v>
      </c>
      <c r="D10" s="5">
        <f>Data1!$AA$41</f>
        <v>9</v>
      </c>
      <c r="E10" s="3"/>
      <c r="F10" s="40">
        <v>2</v>
      </c>
      <c r="G10" s="93" t="s">
        <v>105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3.5</v>
      </c>
      <c r="C11" s="5" t="s">
        <v>35</v>
      </c>
      <c r="D11" s="24">
        <f>Data1!$AB$41</f>
        <v>30</v>
      </c>
      <c r="E11" s="3"/>
      <c r="F11" s="40">
        <v>3</v>
      </c>
      <c r="G11" s="93" t="s">
        <v>108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-0.7</v>
      </c>
      <c r="C12" s="5" t="s">
        <v>35</v>
      </c>
      <c r="D12" s="24">
        <f>Data1!$AC$41</f>
        <v>30</v>
      </c>
      <c r="E12" s="3"/>
      <c r="F12" s="40">
        <v>4</v>
      </c>
      <c r="G12" s="93" t="s">
        <v>109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93" t="s">
        <v>110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111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112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93" t="s">
        <v>113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40</v>
      </c>
      <c r="B17" s="3" t="s">
        <v>41</v>
      </c>
      <c r="C17" s="5">
        <f>Data1!$S$41</f>
        <v>12.8</v>
      </c>
      <c r="D17" s="5">
        <v>26</v>
      </c>
      <c r="E17" s="3"/>
      <c r="F17" s="40">
        <v>9</v>
      </c>
      <c r="G17" s="93" t="s">
        <v>114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42</v>
      </c>
      <c r="B18" s="3"/>
      <c r="C18" s="5">
        <f>Data1!$B$64</f>
        <v>6</v>
      </c>
      <c r="D18" s="5"/>
      <c r="E18" s="3"/>
      <c r="F18" s="40">
        <v>10</v>
      </c>
      <c r="G18" s="93" t="s">
        <v>115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43</v>
      </c>
      <c r="B19" s="3"/>
      <c r="C19" s="5">
        <f>Data1!$C$64</f>
        <v>4</v>
      </c>
      <c r="D19" s="5"/>
      <c r="E19" s="3"/>
      <c r="F19" s="40">
        <v>11</v>
      </c>
      <c r="G19" s="93" t="s">
        <v>120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70</v>
      </c>
      <c r="B20" s="3"/>
      <c r="C20" s="5">
        <f>Data1!$D$64</f>
        <v>1</v>
      </c>
      <c r="D20" s="5"/>
      <c r="E20" s="3"/>
      <c r="F20" s="40">
        <v>12</v>
      </c>
      <c r="G20" s="93" t="s">
        <v>121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44</v>
      </c>
      <c r="B21" s="3" t="s">
        <v>45</v>
      </c>
      <c r="C21" s="21">
        <f>Data1!$S$43</f>
        <v>7</v>
      </c>
      <c r="D21" s="5">
        <v>28</v>
      </c>
      <c r="E21" s="3"/>
      <c r="F21" s="40">
        <v>13</v>
      </c>
      <c r="G21" s="93" t="s">
        <v>122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46</v>
      </c>
      <c r="B22" s="3"/>
      <c r="C22" s="24">
        <f>Data1!$AD$41</f>
        <v>28</v>
      </c>
      <c r="D22" s="5"/>
      <c r="E22" s="3"/>
      <c r="F22" s="40">
        <v>14</v>
      </c>
      <c r="G22" s="93" t="s">
        <v>124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126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93" t="s">
        <v>128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48</v>
      </c>
      <c r="B25" s="3"/>
      <c r="C25" s="21"/>
      <c r="D25" s="5" t="s">
        <v>49</v>
      </c>
      <c r="E25" s="5">
        <f>Data1!$AE$41</f>
        <v>31</v>
      </c>
      <c r="F25" s="40">
        <v>17</v>
      </c>
      <c r="G25" s="93" t="s">
        <v>129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50</v>
      </c>
      <c r="B26" s="3"/>
      <c r="C26" s="5"/>
      <c r="D26" s="5" t="s">
        <v>49</v>
      </c>
      <c r="E26" s="3"/>
      <c r="F26" s="40">
        <v>18</v>
      </c>
      <c r="G26" s="93" t="s">
        <v>130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131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133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93" t="s">
        <v>134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98</v>
      </c>
      <c r="B30" s="3"/>
      <c r="C30" s="5">
        <f>Data1!$Q$43</f>
        <v>26</v>
      </c>
      <c r="D30" s="5">
        <v>29</v>
      </c>
      <c r="E30" s="5"/>
      <c r="F30" s="40">
        <v>22</v>
      </c>
      <c r="G30" s="93" t="s">
        <v>135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53</v>
      </c>
      <c r="B31" s="3"/>
      <c r="C31" s="5">
        <f>Data1!$AO$9</f>
        <v>0</v>
      </c>
      <c r="D31" s="22"/>
      <c r="E31" s="5"/>
      <c r="F31" s="40">
        <v>23</v>
      </c>
      <c r="G31" s="93" t="s">
        <v>136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137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93" t="s">
        <v>138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93" t="s">
        <v>139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93" t="s">
        <v>140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93" t="s">
        <v>141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27</v>
      </c>
      <c r="B37" s="3"/>
      <c r="C37" s="5">
        <f>Data1!$Z$41</f>
        <v>2</v>
      </c>
      <c r="D37" s="5"/>
      <c r="E37" s="3"/>
      <c r="F37" s="40">
        <v>29</v>
      </c>
      <c r="G37" s="93" t="s">
        <v>142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93" t="s">
        <v>144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26</v>
      </c>
      <c r="B39" s="3"/>
      <c r="C39" s="5">
        <f>Data1!$AM$9</f>
        <v>0</v>
      </c>
      <c r="D39" s="5"/>
      <c r="E39" s="3"/>
      <c r="F39" s="40">
        <v>31</v>
      </c>
      <c r="G39" s="95" t="s">
        <v>145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28</v>
      </c>
      <c r="B40" s="3"/>
      <c r="C40" s="5">
        <f>Data1!$AN$9</f>
        <v>1</v>
      </c>
      <c r="D40" s="5"/>
      <c r="E40" s="3"/>
      <c r="F40" s="5"/>
      <c r="G40" s="35" t="s">
        <v>116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 t="s">
        <v>117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 t="s">
        <v>118</v>
      </c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 t="s">
        <v>143</v>
      </c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2009-08-13T08:33:48Z</dcterms:modified>
  <cp:category/>
  <cp:version/>
  <cp:contentType/>
  <cp:contentStatus/>
</cp:coreProperties>
</file>