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<sst xmlns="http://schemas.openxmlformats.org/spreadsheetml/2006/main" count="197" uniqueCount="164">
  <si>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</si>
  <si>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</si>
  <si>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</si>
  <si>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</si>
  <si>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</si>
  <si>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</si>
  <si>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</si>
  <si>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</si>
  <si>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</si>
  <si>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</si>
  <si>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</si>
  <si>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</si>
  <si>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</si>
  <si>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</si>
  <si>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</si>
  <si>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</si>
  <si>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</si>
  <si>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</si>
  <si>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</si>
  <si>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</si>
  <si>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</si>
  <si>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</si>
  <si>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</si>
  <si>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</si>
  <si>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</si>
  <si>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</si>
  <si>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</si>
  <si>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</si>
  <si>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</si>
  <si>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</si>
  <si>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</si>
  <si>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</si>
  <si>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</si>
  <si>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</si>
  <si>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</si>
  <si>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</si>
  <si>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</si>
  <si>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</si>
  <si>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</si>
  <si>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</si>
  <si>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</si>
  <si>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</si>
  <si>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</si>
  <si>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</si>
  <si>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</si>
  <si>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</si>
  <si>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</si>
  <si>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</si>
  <si>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</si>
  <si>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</si>
  <si>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</si>
  <si>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</si>
  <si>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</si>
  <si>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</si>
  <si>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</si>
  <si>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</si>
  <si>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</si>
  <si>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</si>
  <si>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</si>
  <si>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</si>
  <si>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</si>
  <si>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</si>
  <si>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</si>
  <si>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</si>
  <si>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</si>
  <si>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</si>
  <si>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</si>
  <si>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</si>
  <si>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</si>
  <si>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</si>
  <si>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</si>
  <si>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</si>
  <si>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</si>
  <si>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</si>
  <si>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</si>
  <si>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</si>
  <si>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</si>
  <si>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</si>
  <si>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</si>
  <si>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</si>
  <si>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</si>
  <si>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</si>
  <si>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</si>
  <si>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</si>
  <si>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</si>
  <si>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</si>
  <si>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</si>
  <si>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</si>
  <si>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</si>
  <si>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</si>
  <si>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</si>
  <si>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</si>
  <si>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</si>
  <si>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</si>
  <si>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</si>
  <si>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</si>
  <si>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</si>
  <si>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</si>
  <si>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</si>
  <si>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</si>
  <si>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</si>
  <si>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</si>
  <si>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</si>
  <si>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</si>
  <si>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</si>
  <si>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SE1</t>
  </si>
  <si>
    <t xml:space="preserve">July </t>
  </si>
  <si>
    <t>W3</t>
  </si>
  <si>
    <t>tr</t>
  </si>
  <si>
    <t>NE1</t>
  </si>
  <si>
    <t>S2</t>
  </si>
  <si>
    <t>SE2</t>
  </si>
  <si>
    <t>S1</t>
  </si>
  <si>
    <t>A bright day with sunny spells, but also cloudier slots too. A chilly start, but warm later.</t>
  </si>
  <si>
    <t>A fresher day but bright with some good sunny spells. Becoming quite warm later.</t>
  </si>
  <si>
    <t>A few showers, but generally a brighter and warmer day than yesterday.</t>
  </si>
  <si>
    <t>Cloudy and drizzly, with spells of more persistent rain at times. Drier by evening.</t>
  </si>
  <si>
    <t>Rain clearing to give a brighter afternoon, and still feeling rather warm too.</t>
  </si>
  <si>
    <t>A bright, warm day for the most part. Cloudier and breezier later. Rain arriving late-evening.</t>
  </si>
  <si>
    <t xml:space="preserve">A very warm and sunny day, and turning hot for a time in the afternoon. </t>
  </si>
  <si>
    <t>Some decent sunny spells and dry conditions persisting today. Breezy at times.</t>
  </si>
  <si>
    <t>Cool today, but generally bright. Feeling fresher still in the wind. Occasional showers.</t>
  </si>
  <si>
    <t xml:space="preserve">A day of sunshine and showers, and mostly feeling rather cool too. </t>
  </si>
  <si>
    <t>Mostly cloudy withn some sunshine at times. Thicker cloud overnight with showers.</t>
  </si>
  <si>
    <t>Bright or sunny spells, and quite warm again. Winds mostly fairly light on the whole.</t>
  </si>
  <si>
    <t>A bright, fresher day but a good deal of sunshine throughout. Winds again mostly light.</t>
  </si>
  <si>
    <t>A little cooler, but still some sunshine. Generally more cloud around today thought.</t>
  </si>
  <si>
    <t>A cool start, then bright or sunny again with some sunshine developing. Showers overnight.</t>
  </si>
  <si>
    <t>Showers clearing, then starying bright and quite warm again with some sunshine.</t>
  </si>
  <si>
    <t>Cloudy and dull at times. Showery rain developing from midday into early afternoon.</t>
  </si>
  <si>
    <t>WSW3</t>
  </si>
  <si>
    <t>WNW4</t>
  </si>
  <si>
    <t>SSE3</t>
  </si>
  <si>
    <t>WSW4</t>
  </si>
  <si>
    <t>NW2</t>
  </si>
  <si>
    <t>E3</t>
  </si>
  <si>
    <t>W4</t>
  </si>
  <si>
    <t>SSE2</t>
  </si>
  <si>
    <t>Calm</t>
  </si>
  <si>
    <t>A dark, dull day with spells of rain, becoming heavier as the day progressed. Cool.</t>
  </si>
  <si>
    <t>A bright or sunny day, with temperatures eventually nearer average. A cool night.</t>
  </si>
  <si>
    <t>Turning wet and light rain, occasionally turning persistent. Feeling cool too.</t>
  </si>
  <si>
    <t>A bright day with variably cloud, and some brief sunny intervals. Rather cool.</t>
  </si>
  <si>
    <t>Rather cooler than yesterday with a few isolated showers. Still warm in the sunshine.</t>
  </si>
  <si>
    <t>A much cooler start, then sunny spells and turning hot again. *Turning thundery overnight.</t>
  </si>
  <si>
    <t>3rd-4th: Heavy, thundery rain overnight. Very frequent lightening, thunderbolts and a</t>
  </si>
  <si>
    <t xml:space="preserve">powercut around 0300. </t>
  </si>
  <si>
    <t>Thundery rain cleared to leave a bright, very warm day. Still feeling generally humid.</t>
  </si>
  <si>
    <t>Cooler, though still warm. Some sunny intervals developing. Rain overnight.</t>
  </si>
  <si>
    <t>WNW2</t>
  </si>
  <si>
    <t>WNW3</t>
  </si>
  <si>
    <t>SW1</t>
  </si>
  <si>
    <t>A cool day again, with some sunshine and patchy cloud. Clear evening and turning cold!</t>
  </si>
  <si>
    <t>A mixture of sunny spells and cloud. A few light showers, and breezy at times too.</t>
  </si>
  <si>
    <t>A cool day with limited sunshine and showers. Temperatures struggled, even in the sun.</t>
  </si>
  <si>
    <t xml:space="preserve">Overnight rain gradually clearing, then brighter with some sunshine at times. </t>
  </si>
  <si>
    <t>31st: Min 2.5C and grass min -0.8C - the coldest on record here for July, and first July</t>
  </si>
  <si>
    <t>ground frost!</t>
  </si>
  <si>
    <t>August</t>
  </si>
  <si>
    <t xml:space="preserve">Very chilly start but then lots of sunshine. Becoming warm by afternoon. </t>
  </si>
  <si>
    <t>NOTES:</t>
  </si>
  <si>
    <t>A rather cool July overall - the coolest since 2011. However, the 1st saw the hottest July day since 2006. On the 31st, the morning minimum</t>
  </si>
  <si>
    <t xml:space="preserve">of 2.5C was the lowest July air temperature on record, accompanied by the first ever July ground frost (grass min -0.8C). </t>
  </si>
  <si>
    <t xml:space="preserve">Rainfall was spot on average for the month as a whole.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</si>
</sst>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16" borderId="33" xfId="0" applyFill="1" applyBorder="1" applyAlignment="1">
      <alignment horizontal="center"/>
    </xf>
    <xf numFmtId="165" fontId="0" fillId="16" borderId="34" xfId="0" applyNumberFormat="1" applyFill="1" applyBorder="1" applyAlignment="1">
      <alignment horizontal="center"/>
    </xf>
    <xf numFmtId="165" fontId="0" fillId="16" borderId="22" xfId="0" applyNumberFormat="1" applyFill="1" applyBorder="1" applyAlignment="1">
      <alignment horizontal="center"/>
    </xf>
    <xf numFmtId="165" fontId="0" fillId="16" borderId="23" xfId="0" applyNumberFormat="1" applyFill="1" applyBorder="1" applyAlignment="1">
      <alignment horizontal="center"/>
    </xf>
    <xf numFmtId="165" fontId="0" fillId="16" borderId="33" xfId="0" applyNumberFormat="1" applyFill="1" applyBorder="1" applyAlignment="1">
      <alignment horizontal="center"/>
    </xf>
    <xf numFmtId="165" fontId="0" fillId="16" borderId="35" xfId="0" applyNumberFormat="1" applyFill="1" applyBorder="1" applyAlignment="1">
      <alignment horizontal="center"/>
    </xf>
    <xf numFmtId="49" fontId="0" fillId="16" borderId="34" xfId="0" applyNumberFormat="1" applyFill="1" applyBorder="1" applyAlignment="1">
      <alignment horizontal="center"/>
    </xf>
    <xf numFmtId="166" fontId="0" fillId="16" borderId="23" xfId="0" applyNumberFormat="1" applyFill="1" applyBorder="1" applyAlignment="1">
      <alignment horizontal="center"/>
    </xf>
    <xf numFmtId="166" fontId="0" fillId="16" borderId="33" xfId="0" applyNumberFormat="1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165" fontId="0" fillId="16" borderId="15" xfId="0" applyNumberFormat="1" applyFill="1" applyBorder="1" applyAlignment="1">
      <alignment horizontal="center"/>
    </xf>
    <xf numFmtId="165" fontId="0" fillId="16" borderId="10" xfId="0" applyNumberFormat="1" applyFill="1" applyBorder="1" applyAlignment="1">
      <alignment horizontal="center"/>
    </xf>
    <xf numFmtId="165" fontId="0" fillId="16" borderId="18" xfId="0" applyNumberFormat="1" applyFill="1" applyBorder="1" applyAlignment="1">
      <alignment horizontal="center"/>
    </xf>
    <xf numFmtId="165" fontId="0" fillId="16" borderId="20" xfId="0" applyNumberFormat="1" applyFill="1" applyBorder="1" applyAlignment="1">
      <alignment horizontal="center"/>
    </xf>
    <xf numFmtId="165" fontId="0" fillId="16" borderId="29" xfId="0" applyNumberFormat="1" applyFill="1" applyBorder="1" applyAlignment="1">
      <alignment horizontal="center"/>
    </xf>
    <xf numFmtId="49" fontId="0" fillId="16" borderId="15" xfId="0" applyNumberFormat="1" applyFill="1" applyBorder="1" applyAlignment="1">
      <alignment horizontal="center"/>
    </xf>
    <xf numFmtId="166" fontId="0" fillId="16" borderId="18" xfId="0" applyNumberFormat="1" applyFill="1" applyBorder="1" applyAlignment="1">
      <alignment horizontal="center"/>
    </xf>
    <xf numFmtId="166" fontId="0" fillId="16" borderId="20" xfId="0" applyNumberForma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165" fontId="0" fillId="16" borderId="16" xfId="0" applyNumberFormat="1" applyFill="1" applyBorder="1" applyAlignment="1">
      <alignment horizontal="center"/>
    </xf>
    <xf numFmtId="165" fontId="0" fillId="16" borderId="12" xfId="0" applyNumberFormat="1" applyFill="1" applyBorder="1" applyAlignment="1">
      <alignment horizontal="center"/>
    </xf>
    <xf numFmtId="165" fontId="0" fillId="16" borderId="13" xfId="0" applyNumberFormat="1" applyFill="1" applyBorder="1" applyAlignment="1">
      <alignment horizontal="center"/>
    </xf>
    <xf numFmtId="165" fontId="0" fillId="16" borderId="21" xfId="0" applyNumberFormat="1" applyFill="1" applyBorder="1" applyAlignment="1">
      <alignment horizontal="center"/>
    </xf>
    <xf numFmtId="165" fontId="0" fillId="16" borderId="30" xfId="0" applyNumberFormat="1" applyFill="1" applyBorder="1" applyAlignment="1">
      <alignment horizontal="center"/>
    </xf>
    <xf numFmtId="0" fontId="0" fillId="16" borderId="36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9" xfId="0" applyFill="1" applyBorder="1" applyAlignment="1">
      <alignment/>
    </xf>
    <xf numFmtId="0" fontId="0" fillId="16" borderId="40" xfId="0" applyFill="1" applyBorder="1" applyAlignment="1">
      <alignment/>
    </xf>
    <xf numFmtId="0" fontId="0" fillId="16" borderId="41" xfId="0" applyFill="1" applyBorder="1" applyAlignment="1">
      <alignment/>
    </xf>
    <xf numFmtId="0" fontId="0" fillId="16" borderId="42" xfId="0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Fill="1" applyBorder="1" applyAlignment="1">
      <alignment horizontal="centerContinuous"/>
    </xf>
    <xf numFmtId="0" fontId="0" fillId="0" borderId="2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165" fontId="0" fillId="16" borderId="49" xfId="0" applyNumberFormat="1" applyFill="1" applyBorder="1" applyAlignment="1">
      <alignment horizontal="center"/>
    </xf>
    <xf numFmtId="165" fontId="0" fillId="16" borderId="50" xfId="0" applyNumberFormat="1" applyFill="1" applyBorder="1" applyAlignment="1">
      <alignment horizontal="center"/>
    </xf>
    <xf numFmtId="165" fontId="0" fillId="16" borderId="51" xfId="0" applyNumberFormat="1" applyFill="1" applyBorder="1" applyAlignment="1">
      <alignment horizontal="center"/>
    </xf>
    <xf numFmtId="165" fontId="0" fillId="16" borderId="48" xfId="0" applyNumberFormat="1" applyFill="1" applyBorder="1" applyAlignment="1">
      <alignment horizontal="center"/>
    </xf>
    <xf numFmtId="165" fontId="0" fillId="16" borderId="52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165" fontId="0" fillId="16" borderId="14" xfId="0" applyNumberFormat="1" applyFill="1" applyBorder="1" applyAlignment="1">
      <alignment horizontal="center"/>
    </xf>
    <xf numFmtId="165" fontId="0" fillId="16" borderId="11" xfId="0" applyNumberFormat="1" applyFill="1" applyBorder="1" applyAlignment="1">
      <alignment horizontal="center"/>
    </xf>
    <xf numFmtId="165" fontId="0" fillId="16" borderId="17" xfId="0" applyNumberFormat="1" applyFill="1" applyBorder="1" applyAlignment="1">
      <alignment horizontal="center"/>
    </xf>
    <xf numFmtId="165" fontId="0" fillId="16" borderId="19" xfId="0" applyNumberFormat="1" applyFill="1" applyBorder="1" applyAlignment="1">
      <alignment horizontal="center"/>
    </xf>
    <xf numFmtId="165" fontId="0" fillId="16" borderId="28" xfId="0" applyNumberFormat="1" applyFill="1" applyBorder="1" applyAlignment="1">
      <alignment horizontal="center"/>
    </xf>
    <xf numFmtId="166" fontId="0" fillId="16" borderId="17" xfId="0" applyNumberFormat="1" applyFill="1" applyBorder="1" applyAlignment="1">
      <alignment horizontal="center"/>
    </xf>
    <xf numFmtId="166" fontId="0" fillId="16" borderId="53" xfId="0" applyNumberFormat="1" applyFill="1" applyBorder="1" applyAlignment="1">
      <alignment horizontal="center"/>
    </xf>
    <xf numFmtId="165" fontId="0" fillId="16" borderId="54" xfId="0" applyNumberFormat="1" applyFill="1" applyBorder="1" applyAlignment="1">
      <alignment horizontal="center"/>
    </xf>
    <xf numFmtId="165" fontId="0" fillId="16" borderId="55" xfId="0" applyNumberFormat="1" applyFill="1" applyBorder="1" applyAlignment="1">
      <alignment horizontal="center"/>
    </xf>
    <xf numFmtId="165" fontId="0" fillId="16" borderId="56" xfId="0" applyNumberFormat="1" applyFill="1" applyBorder="1" applyAlignment="1">
      <alignment horizontal="center"/>
    </xf>
    <xf numFmtId="165" fontId="0" fillId="16" borderId="40" xfId="0" applyNumberFormat="1" applyFill="1" applyBorder="1" applyAlignment="1">
      <alignment horizontal="center"/>
    </xf>
    <xf numFmtId="165" fontId="0" fillId="16" borderId="42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165" fontId="0" fillId="16" borderId="60" xfId="0" applyNumberFormat="1" applyFill="1" applyBorder="1" applyAlignment="1">
      <alignment horizontal="center"/>
    </xf>
    <xf numFmtId="165" fontId="0" fillId="16" borderId="39" xfId="0" applyNumberFormat="1" applyFill="1" applyBorder="1" applyAlignment="1">
      <alignment horizontal="center"/>
    </xf>
    <xf numFmtId="165" fontId="0" fillId="16" borderId="61" xfId="0" applyNumberFormat="1" applyFill="1" applyBorder="1" applyAlignment="1">
      <alignment horizontal="center"/>
    </xf>
    <xf numFmtId="165" fontId="0" fillId="16" borderId="62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Fill="1" applyBorder="1" applyAlignment="1">
      <alignment horizontal="center" textRotation="90"/>
    </xf>
    <xf numFmtId="0" fontId="0" fillId="0" borderId="45" xfId="0" applyFill="1" applyBorder="1" applyAlignment="1">
      <alignment horizontal="center" textRotation="90"/>
    </xf>
    <xf numFmtId="0" fontId="0" fillId="0" borderId="39" xfId="0" applyFill="1" applyBorder="1" applyAlignment="1">
      <alignment horizontal="center" textRotation="90"/>
    </xf>
    <xf numFmtId="0" fontId="0" fillId="0" borderId="41" xfId="0" applyFill="1" applyBorder="1" applyAlignment="1">
      <alignment horizontal="center" textRotation="90"/>
    </xf>
    <xf numFmtId="0" fontId="0" fillId="0" borderId="44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84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33.1</c:v>
                </c:pt>
                <c:pt idx="1">
                  <c:v>23.4</c:v>
                </c:pt>
                <c:pt idx="2">
                  <c:v>26</c:v>
                </c:pt>
                <c:pt idx="3">
                  <c:v>25.7</c:v>
                </c:pt>
                <c:pt idx="4">
                  <c:v>23.1</c:v>
                </c:pt>
                <c:pt idx="5">
                  <c:v>18.5</c:v>
                </c:pt>
                <c:pt idx="6">
                  <c:v>20.1</c:v>
                </c:pt>
                <c:pt idx="7">
                  <c:v>17.7</c:v>
                </c:pt>
                <c:pt idx="8">
                  <c:v>20.8</c:v>
                </c:pt>
                <c:pt idx="9">
                  <c:v>26.4</c:v>
                </c:pt>
                <c:pt idx="10">
                  <c:v>23.2</c:v>
                </c:pt>
                <c:pt idx="11">
                  <c:v>22.7</c:v>
                </c:pt>
                <c:pt idx="12">
                  <c:v>19.6</c:v>
                </c:pt>
                <c:pt idx="13">
                  <c:v>20.8</c:v>
                </c:pt>
                <c:pt idx="14">
                  <c:v>20.8</c:v>
                </c:pt>
                <c:pt idx="15">
                  <c:v>24.4</c:v>
                </c:pt>
                <c:pt idx="16">
                  <c:v>21.3</c:v>
                </c:pt>
                <c:pt idx="17">
                  <c:v>22.1</c:v>
                </c:pt>
                <c:pt idx="18">
                  <c:v>20.8</c:v>
                </c:pt>
                <c:pt idx="19">
                  <c:v>23.2</c:v>
                </c:pt>
                <c:pt idx="20">
                  <c:v>22.7</c:v>
                </c:pt>
                <c:pt idx="21">
                  <c:v>18.9</c:v>
                </c:pt>
                <c:pt idx="22">
                  <c:v>18.8</c:v>
                </c:pt>
                <c:pt idx="23">
                  <c:v>16</c:v>
                </c:pt>
                <c:pt idx="24">
                  <c:v>20.4</c:v>
                </c:pt>
                <c:pt idx="25">
                  <c:v>16.5</c:v>
                </c:pt>
                <c:pt idx="26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15.5</c:v>
                </c:pt>
                <c:pt idx="1">
                  <c:v>16.5</c:v>
                </c:pt>
                <c:pt idx="2">
                  <c:v>6.6</c:v>
                </c:pt>
                <c:pt idx="3">
                  <c:v>14.8</c:v>
                </c:pt>
                <c:pt idx="4">
                  <c:v>8.5</c:v>
                </c:pt>
                <c:pt idx="5">
                  <c:v>9.6</c:v>
                </c:pt>
                <c:pt idx="6">
                  <c:v>13.8</c:v>
                </c:pt>
                <c:pt idx="7">
                  <c:v>13.1</c:v>
                </c:pt>
                <c:pt idx="8">
                  <c:v>7.7</c:v>
                </c:pt>
                <c:pt idx="9">
                  <c:v>9</c:v>
                </c:pt>
                <c:pt idx="10">
                  <c:v>13.9</c:v>
                </c:pt>
                <c:pt idx="11">
                  <c:v>9.6</c:v>
                </c:pt>
                <c:pt idx="12">
                  <c:v>12.5</c:v>
                </c:pt>
                <c:pt idx="13">
                  <c:v>14.2</c:v>
                </c:pt>
                <c:pt idx="14">
                  <c:v>12</c:v>
                </c:pt>
                <c:pt idx="15">
                  <c:v>5.1</c:v>
                </c:pt>
                <c:pt idx="16">
                  <c:v>13.9</c:v>
                </c:pt>
                <c:pt idx="17">
                  <c:v>9.9</c:v>
                </c:pt>
                <c:pt idx="18">
                  <c:v>12.5</c:v>
                </c:pt>
                <c:pt idx="19">
                  <c:v>7.5</c:v>
                </c:pt>
                <c:pt idx="20">
                  <c:v>11.7</c:v>
                </c:pt>
                <c:pt idx="21">
                  <c:v>13.2</c:v>
                </c:pt>
                <c:pt idx="22">
                  <c:v>9.5</c:v>
                </c:pt>
                <c:pt idx="23">
                  <c:v>9.8</c:v>
                </c:pt>
                <c:pt idx="24">
                  <c:v>8.7</c:v>
                </c:pt>
                <c:pt idx="25">
                  <c:v>7</c:v>
                </c:pt>
                <c:pt idx="26">
                  <c:v>12.5</c:v>
                </c:pt>
                <c:pt idx="27">
                  <c:v>12.3</c:v>
                </c:pt>
              </c:numCache>
            </c:numRef>
          </c:val>
          <c:smooth val="0"/>
        </c:ser>
        <c:marker val="1"/>
        <c:axId val="15411963"/>
        <c:axId val="4489940"/>
      </c:lineChart>
      <c:catAx>
        <c:axId val="1541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9940"/>
        <c:crosses val="autoZero"/>
        <c:auto val="1"/>
        <c:lblOffset val="100"/>
        <c:tickLblSkip val="1"/>
        <c:noMultiLvlLbl val="0"/>
      </c:catAx>
      <c:valAx>
        <c:axId val="448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1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47125"/>
          <c:w val="0.065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902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2.8</c:v>
                </c:pt>
                <c:pt idx="2">
                  <c:v>10.2</c:v>
                </c:pt>
                <c:pt idx="3">
                  <c:v>0</c:v>
                </c:pt>
                <c:pt idx="4">
                  <c:v>3.5</c:v>
                </c:pt>
                <c:pt idx="5">
                  <c:v>1</c:v>
                </c:pt>
                <c:pt idx="6">
                  <c:v>3.8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</c:v>
                </c:pt>
                <c:pt idx="11">
                  <c:v>0.4</c:v>
                </c:pt>
                <c:pt idx="12">
                  <c:v>4.8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5.3</c:v>
                </c:pt>
                <c:pt idx="18">
                  <c:v>0</c:v>
                </c:pt>
                <c:pt idx="19">
                  <c:v>0.7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6.2</c:v>
                </c:pt>
                <c:pt idx="24">
                  <c:v>0</c:v>
                </c:pt>
                <c:pt idx="25">
                  <c:v>15.3</c:v>
                </c:pt>
                <c:pt idx="26">
                  <c:v>0.1</c:v>
                </c:pt>
              </c:numCache>
            </c:numRef>
          </c:val>
        </c:ser>
        <c:axId val="40409461"/>
        <c:axId val="28140830"/>
      </c:barChart>
      <c:catAx>
        <c:axId val="4040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25"/>
          <c:y val="0.48475"/>
          <c:w val="0.048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904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8.4</c:v>
                </c:pt>
                <c:pt idx="1">
                  <c:v>4.1</c:v>
                </c:pt>
                <c:pt idx="2">
                  <c:v>9</c:v>
                </c:pt>
                <c:pt idx="3">
                  <c:v>10.3</c:v>
                </c:pt>
                <c:pt idx="4">
                  <c:v>10.5</c:v>
                </c:pt>
                <c:pt idx="5">
                  <c:v>4</c:v>
                </c:pt>
                <c:pt idx="6">
                  <c:v>7</c:v>
                </c:pt>
                <c:pt idx="7">
                  <c:v>9.3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8.1</c:v>
                </c:pt>
                <c:pt idx="12">
                  <c:v>0</c:v>
                </c:pt>
                <c:pt idx="13">
                  <c:v>3</c:v>
                </c:pt>
                <c:pt idx="14">
                  <c:v>12</c:v>
                </c:pt>
                <c:pt idx="15">
                  <c:v>7</c:v>
                </c:pt>
                <c:pt idx="16">
                  <c:v>10.7</c:v>
                </c:pt>
                <c:pt idx="17">
                  <c:v>9</c:v>
                </c:pt>
                <c:pt idx="18">
                  <c:v>9.8</c:v>
                </c:pt>
                <c:pt idx="19">
                  <c:v>8</c:v>
                </c:pt>
                <c:pt idx="20">
                  <c:v>8.1</c:v>
                </c:pt>
                <c:pt idx="21">
                  <c:v>8</c:v>
                </c:pt>
                <c:pt idx="22">
                  <c:v>5.9</c:v>
                </c:pt>
                <c:pt idx="23">
                  <c:v>0</c:v>
                </c:pt>
                <c:pt idx="24">
                  <c:v>9.1</c:v>
                </c:pt>
                <c:pt idx="25">
                  <c:v>0</c:v>
                </c:pt>
                <c:pt idx="26">
                  <c:v>1.4</c:v>
                </c:pt>
              </c:numCache>
            </c:numRef>
          </c:val>
        </c:ser>
        <c:axId val="51940879"/>
        <c:axId val="64814728"/>
      </c:barChart>
      <c:catAx>
        <c:axId val="51940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0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5"/>
          <c:y val="0.48475"/>
          <c:w val="0.044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6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11.5</c:v>
                </c:pt>
                <c:pt idx="1">
                  <c:v>14.3</c:v>
                </c:pt>
                <c:pt idx="2">
                  <c:v>3.3</c:v>
                </c:pt>
                <c:pt idx="3">
                  <c:v>14.1</c:v>
                </c:pt>
                <c:pt idx="4">
                  <c:v>4.9</c:v>
                </c:pt>
                <c:pt idx="5">
                  <c:v>6.7</c:v>
                </c:pt>
                <c:pt idx="6">
                  <c:v>13.1</c:v>
                </c:pt>
                <c:pt idx="7">
                  <c:v>12</c:v>
                </c:pt>
                <c:pt idx="8">
                  <c:v>5.1</c:v>
                </c:pt>
                <c:pt idx="9">
                  <c:v>6.5</c:v>
                </c:pt>
                <c:pt idx="10">
                  <c:v>10.1</c:v>
                </c:pt>
                <c:pt idx="11">
                  <c:v>6.7</c:v>
                </c:pt>
                <c:pt idx="12">
                  <c:v>9</c:v>
                </c:pt>
                <c:pt idx="13">
                  <c:v>14.7</c:v>
                </c:pt>
                <c:pt idx="14">
                  <c:v>12.3</c:v>
                </c:pt>
                <c:pt idx="15">
                  <c:v>2.1</c:v>
                </c:pt>
                <c:pt idx="16">
                  <c:v>12</c:v>
                </c:pt>
                <c:pt idx="17">
                  <c:v>7.5</c:v>
                </c:pt>
                <c:pt idx="18">
                  <c:v>9.2</c:v>
                </c:pt>
                <c:pt idx="19">
                  <c:v>4.1</c:v>
                </c:pt>
                <c:pt idx="20">
                  <c:v>8</c:v>
                </c:pt>
                <c:pt idx="21">
                  <c:v>13</c:v>
                </c:pt>
                <c:pt idx="22">
                  <c:v>5.7</c:v>
                </c:pt>
                <c:pt idx="23">
                  <c:v>7.4</c:v>
                </c:pt>
                <c:pt idx="24">
                  <c:v>5.1</c:v>
                </c:pt>
                <c:pt idx="25">
                  <c:v>4</c:v>
                </c:pt>
                <c:pt idx="26">
                  <c:v>13.4</c:v>
                </c:pt>
                <c:pt idx="27">
                  <c:v>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6461641"/>
        <c:axId val="15501586"/>
      </c:lineChart>
      <c:catAx>
        <c:axId val="46461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7125"/>
          <c:w val="0.073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10cm and 20cm soil.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9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19.7</c:v>
                </c:pt>
                <c:pt idx="1">
                  <c:v>20.1</c:v>
                </c:pt>
                <c:pt idx="2">
                  <c:v>17.8</c:v>
                </c:pt>
                <c:pt idx="3">
                  <c:v>19.1</c:v>
                </c:pt>
                <c:pt idx="4">
                  <c:v>17.8</c:v>
                </c:pt>
                <c:pt idx="5">
                  <c:v>16.8</c:v>
                </c:pt>
                <c:pt idx="6">
                  <c:v>17</c:v>
                </c:pt>
                <c:pt idx="7">
                  <c:v>16</c:v>
                </c:pt>
                <c:pt idx="8">
                  <c:v>11.7</c:v>
                </c:pt>
                <c:pt idx="9">
                  <c:v>18.6</c:v>
                </c:pt>
                <c:pt idx="10">
                  <c:v>20.6</c:v>
                </c:pt>
                <c:pt idx="11">
                  <c:v>16.8</c:v>
                </c:pt>
                <c:pt idx="12">
                  <c:v>16.2</c:v>
                </c:pt>
                <c:pt idx="13">
                  <c:v>18.8</c:v>
                </c:pt>
                <c:pt idx="14">
                  <c:v>18.2</c:v>
                </c:pt>
                <c:pt idx="15">
                  <c:v>15.4</c:v>
                </c:pt>
                <c:pt idx="16">
                  <c:v>17</c:v>
                </c:pt>
                <c:pt idx="17">
                  <c:v>16.1</c:v>
                </c:pt>
                <c:pt idx="18">
                  <c:v>16.8</c:v>
                </c:pt>
                <c:pt idx="19">
                  <c:v>21.2</c:v>
                </c:pt>
                <c:pt idx="20">
                  <c:v>17.4</c:v>
                </c:pt>
                <c:pt idx="21">
                  <c:v>18.3</c:v>
                </c:pt>
                <c:pt idx="22">
                  <c:v>16.3</c:v>
                </c:pt>
                <c:pt idx="23">
                  <c:v>14.7</c:v>
                </c:pt>
                <c:pt idx="24">
                  <c:v>15.8</c:v>
                </c:pt>
                <c:pt idx="25">
                  <c:v>14.9</c:v>
                </c:pt>
                <c:pt idx="26">
                  <c:v>16.3</c:v>
                </c:pt>
                <c:pt idx="27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18.9</c:v>
                </c:pt>
                <c:pt idx="1">
                  <c:v>19.5</c:v>
                </c:pt>
                <c:pt idx="2">
                  <c:v>15</c:v>
                </c:pt>
                <c:pt idx="3">
                  <c:v>18</c:v>
                </c:pt>
                <c:pt idx="4">
                  <c:v>16.6</c:v>
                </c:pt>
                <c:pt idx="5">
                  <c:v>15</c:v>
                </c:pt>
                <c:pt idx="6">
                  <c:v>16</c:v>
                </c:pt>
                <c:pt idx="7">
                  <c:v>15</c:v>
                </c:pt>
                <c:pt idx="8">
                  <c:v>12.4</c:v>
                </c:pt>
                <c:pt idx="9">
                  <c:v>16.3</c:v>
                </c:pt>
                <c:pt idx="10">
                  <c:v>18.7</c:v>
                </c:pt>
                <c:pt idx="11">
                  <c:v>15</c:v>
                </c:pt>
                <c:pt idx="12">
                  <c:v>16.7</c:v>
                </c:pt>
                <c:pt idx="13">
                  <c:v>17.5</c:v>
                </c:pt>
                <c:pt idx="14">
                  <c:v>17.3</c:v>
                </c:pt>
                <c:pt idx="15">
                  <c:v>15</c:v>
                </c:pt>
                <c:pt idx="16">
                  <c:v>16</c:v>
                </c:pt>
                <c:pt idx="17">
                  <c:v>15.5</c:v>
                </c:pt>
                <c:pt idx="18">
                  <c:v>16.7</c:v>
                </c:pt>
                <c:pt idx="19">
                  <c:v>18.3</c:v>
                </c:pt>
                <c:pt idx="20">
                  <c:v>16.4</c:v>
                </c:pt>
                <c:pt idx="21">
                  <c:v>17.6</c:v>
                </c:pt>
                <c:pt idx="22">
                  <c:v>15.3</c:v>
                </c:pt>
                <c:pt idx="23">
                  <c:v>14.9</c:v>
                </c:pt>
                <c:pt idx="24">
                  <c:v>13.7</c:v>
                </c:pt>
                <c:pt idx="25">
                  <c:v>14.4</c:v>
                </c:pt>
                <c:pt idx="26">
                  <c:v>15.7</c:v>
                </c:pt>
                <c:pt idx="27">
                  <c:v>14</c:v>
                </c:pt>
              </c:numCache>
            </c:numRef>
          </c:val>
          <c:smooth val="0"/>
        </c:ser>
        <c:marker val="1"/>
        <c:axId val="5296547"/>
        <c:axId val="47668924"/>
      </c:lineChart>
      <c:catAx>
        <c:axId val="529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7125"/>
          <c:w val="0.070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0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14.3</c:v>
                </c:pt>
                <c:pt idx="1">
                  <c:v>14.6</c:v>
                </c:pt>
                <c:pt idx="2">
                  <c:v>14.9</c:v>
                </c:pt>
                <c:pt idx="3">
                  <c:v>15</c:v>
                </c:pt>
                <c:pt idx="4">
                  <c:v>15.1</c:v>
                </c:pt>
                <c:pt idx="5">
                  <c:v>15.1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14.9</c:v>
                </c:pt>
                <c:pt idx="10">
                  <c:v>14.9</c:v>
                </c:pt>
                <c:pt idx="11">
                  <c:v>15.1</c:v>
                </c:pt>
                <c:pt idx="12">
                  <c:v>15.1</c:v>
                </c:pt>
                <c:pt idx="13">
                  <c:v>15.1</c:v>
                </c:pt>
                <c:pt idx="14">
                  <c:v>15.2</c:v>
                </c:pt>
                <c:pt idx="15">
                  <c:v>15.2</c:v>
                </c:pt>
                <c:pt idx="16">
                  <c:v>15.2</c:v>
                </c:pt>
                <c:pt idx="17">
                  <c:v>15.2</c:v>
                </c:pt>
                <c:pt idx="18">
                  <c:v>15.2</c:v>
                </c:pt>
                <c:pt idx="19">
                  <c:v>15.2</c:v>
                </c:pt>
                <c:pt idx="20">
                  <c:v>15.2</c:v>
                </c:pt>
                <c:pt idx="21">
                  <c:v>15.2</c:v>
                </c:pt>
                <c:pt idx="22">
                  <c:v>15.3</c:v>
                </c:pt>
                <c:pt idx="23">
                  <c:v>15.2</c:v>
                </c:pt>
                <c:pt idx="24">
                  <c:v>15.1</c:v>
                </c:pt>
                <c:pt idx="25">
                  <c:v>15</c:v>
                </c:pt>
                <c:pt idx="26">
                  <c:v>14.9</c:v>
                </c:pt>
                <c:pt idx="27">
                  <c:v>14.9</c:v>
                </c:pt>
              </c:numCache>
            </c:numRef>
          </c:val>
          <c:smooth val="0"/>
        </c:ser>
        <c:marker val="1"/>
        <c:axId val="26367133"/>
        <c:axId val="35977606"/>
      </c:lineChart>
      <c:catAx>
        <c:axId val="2636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7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7125"/>
          <c:w val="0.078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MSL Pressure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8375"/>
          <c:h val="0.8355"/>
        </c:manualLayout>
      </c:layout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1011.8540942701701</c:v>
                </c:pt>
                <c:pt idx="1">
                  <c:v>1018.1280374799844</c:v>
                </c:pt>
                <c:pt idx="2">
                  <c:v>1026.9739424872757</c:v>
                </c:pt>
                <c:pt idx="3">
                  <c:v>1015.8223576167901</c:v>
                </c:pt>
                <c:pt idx="4">
                  <c:v>1017.4208154373607</c:v>
                </c:pt>
                <c:pt idx="5">
                  <c:v>1018.2288534124922</c:v>
                </c:pt>
                <c:pt idx="6">
                  <c:v>1006.2722654340592</c:v>
                </c:pt>
                <c:pt idx="7">
                  <c:v>1008.5989163786784</c:v>
                </c:pt>
                <c:pt idx="8">
                  <c:v>1023.8081832494677</c:v>
                </c:pt>
                <c:pt idx="9">
                  <c:v>1020.649456976139</c:v>
                </c:pt>
                <c:pt idx="10">
                  <c:v>1016.5604626800555</c:v>
                </c:pt>
                <c:pt idx="11">
                  <c:v>1018.2288534124922</c:v>
                </c:pt>
                <c:pt idx="12">
                  <c:v>1013.9880741249718</c:v>
                </c:pt>
                <c:pt idx="13">
                  <c:v>1016.5604626800555</c:v>
                </c:pt>
                <c:pt idx="14">
                  <c:v>1019.685290980894</c:v>
                </c:pt>
                <c:pt idx="15">
                  <c:v>1019.4797293527371</c:v>
                </c:pt>
                <c:pt idx="16">
                  <c:v>1008.5540350457796</c:v>
                </c:pt>
                <c:pt idx="17">
                  <c:v>1016.0242978890917</c:v>
                </c:pt>
                <c:pt idx="18">
                  <c:v>1007.7180607067364</c:v>
                </c:pt>
                <c:pt idx="19">
                  <c:v>1008.4189243939978</c:v>
                </c:pt>
                <c:pt idx="20">
                  <c:v>1009.8003906693513</c:v>
                </c:pt>
                <c:pt idx="21">
                  <c:v>1013.1821112247886</c:v>
                </c:pt>
                <c:pt idx="22">
                  <c:v>1017.8635918644143</c:v>
                </c:pt>
                <c:pt idx="23">
                  <c:v>1013.2121401947167</c:v>
                </c:pt>
                <c:pt idx="24">
                  <c:v>1013.9277811655487</c:v>
                </c:pt>
                <c:pt idx="25">
                  <c:v>1004.0744970262296</c:v>
                </c:pt>
                <c:pt idx="26">
                  <c:v>997.7421229295604</c:v>
                </c:pt>
                <c:pt idx="27">
                  <c:v>1002.3432185529638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362999"/>
        <c:axId val="28504944"/>
      </c:lineChart>
      <c:catAx>
        <c:axId val="5536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299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48975"/>
          <c:w val="0.065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852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19.22467297105057</c:v>
                </c:pt>
                <c:pt idx="1">
                  <c:v>17.303910557177293</c:v>
                </c:pt>
                <c:pt idx="2">
                  <c:v>14.783974235181072</c:v>
                </c:pt>
                <c:pt idx="3">
                  <c:v>18.765311781302298</c:v>
                </c:pt>
                <c:pt idx="4">
                  <c:v>13.854136742657438</c:v>
                </c:pt>
                <c:pt idx="5">
                  <c:v>13.667813616332808</c:v>
                </c:pt>
                <c:pt idx="6">
                  <c:v>14.49249340038396</c:v>
                </c:pt>
                <c:pt idx="7">
                  <c:v>11.792733828869459</c:v>
                </c:pt>
                <c:pt idx="8">
                  <c:v>10.852570238190717</c:v>
                </c:pt>
                <c:pt idx="9">
                  <c:v>16.199096154071064</c:v>
                </c:pt>
                <c:pt idx="10">
                  <c:v>12.647855825947625</c:v>
                </c:pt>
                <c:pt idx="11">
                  <c:v>13.667813616332808</c:v>
                </c:pt>
                <c:pt idx="12">
                  <c:v>13.922769326654576</c:v>
                </c:pt>
                <c:pt idx="13">
                  <c:v>16.343077715204107</c:v>
                </c:pt>
                <c:pt idx="14">
                  <c:v>12.166963933886333</c:v>
                </c:pt>
                <c:pt idx="15">
                  <c:v>12.854396588647193</c:v>
                </c:pt>
                <c:pt idx="16">
                  <c:v>14.519997567507064</c:v>
                </c:pt>
                <c:pt idx="17">
                  <c:v>12.156856911401048</c:v>
                </c:pt>
                <c:pt idx="18">
                  <c:v>14.123646043782127</c:v>
                </c:pt>
                <c:pt idx="19">
                  <c:v>15.084384349675787</c:v>
                </c:pt>
                <c:pt idx="20">
                  <c:v>15.95941965790462</c:v>
                </c:pt>
                <c:pt idx="21">
                  <c:v>14.29866394582936</c:v>
                </c:pt>
                <c:pt idx="22">
                  <c:v>11.484450456049156</c:v>
                </c:pt>
                <c:pt idx="23">
                  <c:v>11.710667116501078</c:v>
                </c:pt>
                <c:pt idx="24">
                  <c:v>9.034084947003201</c:v>
                </c:pt>
                <c:pt idx="25">
                  <c:v>9.689880170799091</c:v>
                </c:pt>
                <c:pt idx="26">
                  <c:v>12.156856911401048</c:v>
                </c:pt>
                <c:pt idx="27">
                  <c:v>10.769500934821906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8475"/>
          <c:w val="0.09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0.03275</cdr:y>
    </cdr:from>
    <cdr:to>
      <cdr:x>0.917</cdr:x>
      <cdr:y>0.06925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743825" y="180975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8211d12-c6b4-4a6f-b650-9761bac2ceb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0.029</cdr:y>
    </cdr:from>
    <cdr:to>
      <cdr:x>0.8775</cdr:x>
      <cdr:y>0.06575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362825" y="1619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8963a71-0e69-47c0-bcc8-4cfffead1d0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0.80125</cdr:x>
      <cdr:y>0.03625</cdr:y>
    </cdr:from>
    <cdr:to>
      <cdr:x>0.88475</cdr:x>
      <cdr:y>0.073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448550" y="200025"/>
          <a:ext cx="781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c8c7cad-cd12-4e22-a251-18a22dd9357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0.497</cdr:y>
    </cdr:from>
    <cdr:to>
      <cdr:x>0.51275</cdr:x>
      <cdr:y>0.53425</cdr:y>
    </cdr:to>
    <cdr:sp textlink="Data1!$R$9">
      <cdr:nvSpPr>
        <cdr:cNvPr id="1" name="Text Box 3"/>
        <cdr:cNvSpPr txBox="1">
          <a:spLocks noChangeArrowheads="1"/>
        </cdr:cNvSpPr>
      </cdr:nvSpPr>
      <cdr:spPr>
        <a:xfrm>
          <a:off x="4686300" y="2838450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fb8dc68-ff87-43e7-8afc-acb11b69a3f6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8.4 </a:t>
          </a:fld>
        </a:p>
      </cdr:txBody>
    </cdr:sp>
  </cdr:relSizeAnchor>
  <cdr:relSizeAnchor xmlns:cdr="http://schemas.openxmlformats.org/drawingml/2006/chartDrawing">
    <cdr:from>
      <cdr:x>0.779</cdr:x>
      <cdr:y>0.02775</cdr:y>
    </cdr:from>
    <cdr:to>
      <cdr:x>0.86425</cdr:x>
      <cdr:y>0.064</cdr:y>
    </cdr:to>
    <cdr:sp textlink="Data1!$R$4">
      <cdr:nvSpPr>
        <cdr:cNvPr id="2" name="Text Box 4"/>
        <cdr:cNvSpPr txBox="1">
          <a:spLocks noChangeArrowheads="1"/>
        </cdr:cNvSpPr>
      </cdr:nvSpPr>
      <cdr:spPr>
        <a:xfrm>
          <a:off x="7248525" y="15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506af04-06d5-4bdc-9376-07cd251c764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0.0255</cdr:y>
    </cdr:from>
    <cdr:to>
      <cdr:x>0.92275</cdr:x>
      <cdr:y>0.062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781925" y="14287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7c194c57-bdfd-415c-83ce-17dbe080909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0.02775</cdr:y>
    </cdr:from>
    <cdr:to>
      <cdr:x>0.903</cdr:x>
      <cdr:y>0.064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591425" y="152400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07f0342-384e-48d3-b50f-dec53a2813c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0.029</cdr:y>
    </cdr:from>
    <cdr:to>
      <cdr:x>0.88675</cdr:x>
      <cdr:y>0.06575</cdr:y>
    </cdr:to>
    <cdr:sp textlink="Data1!$R$4">
      <cdr:nvSpPr>
        <cdr:cNvPr id="1" name="Text Box 2"/>
        <cdr:cNvSpPr txBox="1">
          <a:spLocks noChangeArrowheads="1"/>
        </cdr:cNvSpPr>
      </cdr:nvSpPr>
      <cdr:spPr>
        <a:xfrm>
          <a:off x="7448550" y="1619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b3e34e6-0b10-4484-ae87-f91b9dc868c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0.0385</cdr:y>
    </cdr:from>
    <cdr:to>
      <cdr:x>0.90825</cdr:x>
      <cdr:y>0.074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639050" y="21907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614ea0e-8d4b-4c6b-bf11-15728a484f8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zoomScalePageLayoutView="0" workbookViewId="0" topLeftCell="A1">
      <pane ySplit="2340" topLeftCell="BM7" activePane="bottomLeft" state="split"/>
      <selection pane="topLeft" activeCell="O8" sqref="O8"/>
      <selection pane="bottomLeft" activeCell="AA13" sqref="AA13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2015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26.3</v>
      </c>
      <c r="C9" s="65">
        <v>21.7</v>
      </c>
      <c r="D9" s="65">
        <v>33.1</v>
      </c>
      <c r="E9" s="65">
        <v>15.5</v>
      </c>
      <c r="F9" s="66">
        <f aca="true" t="shared" si="0" ref="F9:F39">AVERAGE(D9:E9)</f>
        <v>24.3</v>
      </c>
      <c r="G9" s="67">
        <f>100*(AJ9/AH9)</f>
        <v>65.11586986893005</v>
      </c>
      <c r="H9" s="67">
        <f aca="true" t="shared" si="1" ref="H9:H39">AK9</f>
        <v>19.22467297105057</v>
      </c>
      <c r="I9" s="68">
        <v>11.5</v>
      </c>
      <c r="J9" s="66"/>
      <c r="K9" s="68">
        <v>19.7</v>
      </c>
      <c r="L9" s="65">
        <v>18.9</v>
      </c>
      <c r="M9" s="65"/>
      <c r="N9" s="65">
        <v>15.7</v>
      </c>
      <c r="O9" s="66">
        <v>14.3</v>
      </c>
      <c r="P9" s="69" t="s">
        <v>105</v>
      </c>
      <c r="Q9" s="70">
        <v>16</v>
      </c>
      <c r="R9" s="67">
        <v>8.4</v>
      </c>
      <c r="S9" s="67"/>
      <c r="T9" s="67" t="s">
        <v>108</v>
      </c>
      <c r="U9" s="67"/>
      <c r="V9" s="71">
        <v>1</v>
      </c>
      <c r="W9" s="64">
        <v>1002.1</v>
      </c>
      <c r="X9" s="121">
        <f aca="true" t="shared" si="2" ref="X9:X39">W9+AU17</f>
        <v>1011.8540942701701</v>
      </c>
      <c r="Y9" s="130">
        <v>0</v>
      </c>
      <c r="Z9" s="133">
        <v>0</v>
      </c>
      <c r="AA9" s="126">
        <v>0</v>
      </c>
      <c r="AB9">
        <f>IF((MAX($D$9:$D$39)=$D9),A9,0)</f>
        <v>1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34.2048751944004</v>
      </c>
      <c r="AI9">
        <f aca="true" t="shared" si="5" ref="AI9:AI39">IF(W9&gt;=0,6.107*EXP(17.38*(C9/(239+C9))),6.107*EXP(22.44*(C9/(272.4+C9))))</f>
        <v>25.9482020204157</v>
      </c>
      <c r="AJ9">
        <f aca="true" t="shared" si="6" ref="AJ9:AJ39">IF(C9&gt;=0,AI9-(0.000799*1000*(B9-C9)),AI9-(0.00072*1000*(B9-C9)))</f>
        <v>22.272802020415696</v>
      </c>
      <c r="AK9">
        <f>239*LN(AJ9/6.107)/(17.38-LN(AJ9/6.107))</f>
        <v>19.22467297105057</v>
      </c>
      <c r="AM9">
        <f>COUNTIF(V9:V39,"&lt;1")</f>
        <v>1</v>
      </c>
      <c r="AN9">
        <f>COUNTIF(E9:E39,"&lt;0")</f>
        <v>0</v>
      </c>
      <c r="AO9">
        <f>COUNTIF(I9:I39,"&lt;0")</f>
        <v>1</v>
      </c>
      <c r="AP9">
        <f>COUNTIF(Q9:Q39,"&gt;=39")</f>
        <v>0</v>
      </c>
    </row>
    <row r="10" spans="1:37" ht="12.75">
      <c r="A10" s="72">
        <v>2</v>
      </c>
      <c r="B10" s="73">
        <v>19.9</v>
      </c>
      <c r="C10" s="74">
        <v>18.3</v>
      </c>
      <c r="D10" s="74">
        <v>23.4</v>
      </c>
      <c r="E10" s="74">
        <v>16.5</v>
      </c>
      <c r="F10" s="75">
        <f t="shared" si="0"/>
        <v>19.95</v>
      </c>
      <c r="G10" s="67">
        <f aca="true" t="shared" si="7" ref="G10:G39">100*(AJ10/AH10)</f>
        <v>85.0007605715073</v>
      </c>
      <c r="H10" s="76">
        <f t="shared" si="1"/>
        <v>17.303910557177293</v>
      </c>
      <c r="I10" s="77">
        <v>14.3</v>
      </c>
      <c r="J10" s="75"/>
      <c r="K10" s="77">
        <v>20.1</v>
      </c>
      <c r="L10" s="74">
        <v>19.5</v>
      </c>
      <c r="M10" s="74"/>
      <c r="N10" s="74">
        <v>16.4</v>
      </c>
      <c r="O10" s="75">
        <v>14.6</v>
      </c>
      <c r="P10" s="78" t="s">
        <v>107</v>
      </c>
      <c r="Q10" s="79">
        <v>16</v>
      </c>
      <c r="R10" s="76">
        <v>4.1</v>
      </c>
      <c r="S10" s="76"/>
      <c r="T10" s="76">
        <v>2.8</v>
      </c>
      <c r="U10" s="76"/>
      <c r="V10" s="80">
        <v>7</v>
      </c>
      <c r="W10" s="73">
        <v>1008.1</v>
      </c>
      <c r="X10" s="121">
        <f t="shared" si="2"/>
        <v>1018.1280374799844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23.227245377935365</v>
      </c>
      <c r="AI10">
        <f t="shared" si="5"/>
        <v>21.021735231055334</v>
      </c>
      <c r="AJ10">
        <f t="shared" si="6"/>
        <v>19.743335231055337</v>
      </c>
      <c r="AK10">
        <f aca="true" t="shared" si="12" ref="AK10:AK39">239*LN(AJ10/6.107)/(17.38-LN(AJ10/6.107))</f>
        <v>17.303910557177293</v>
      </c>
    </row>
    <row r="11" spans="1:37" ht="12.75">
      <c r="A11" s="63">
        <v>3</v>
      </c>
      <c r="B11" s="64">
        <v>18.2</v>
      </c>
      <c r="C11" s="65">
        <v>16.2</v>
      </c>
      <c r="D11" s="65">
        <v>26</v>
      </c>
      <c r="E11" s="65">
        <v>6.6</v>
      </c>
      <c r="F11" s="66">
        <f t="shared" si="0"/>
        <v>16.3</v>
      </c>
      <c r="G11" s="67">
        <f t="shared" si="7"/>
        <v>80.46184882003425</v>
      </c>
      <c r="H11" s="67">
        <f t="shared" si="1"/>
        <v>14.783974235181072</v>
      </c>
      <c r="I11" s="68">
        <v>3.3</v>
      </c>
      <c r="J11" s="66"/>
      <c r="K11" s="68">
        <v>17.8</v>
      </c>
      <c r="L11" s="65">
        <v>15</v>
      </c>
      <c r="M11" s="65"/>
      <c r="N11" s="65">
        <v>16.4</v>
      </c>
      <c r="O11" s="66">
        <v>14.9</v>
      </c>
      <c r="P11" s="69" t="s">
        <v>109</v>
      </c>
      <c r="Q11" s="70">
        <v>20</v>
      </c>
      <c r="R11" s="67">
        <v>9</v>
      </c>
      <c r="S11" s="67"/>
      <c r="T11" s="67">
        <v>10.2</v>
      </c>
      <c r="U11" s="67"/>
      <c r="V11" s="71">
        <v>3</v>
      </c>
      <c r="W11" s="64">
        <v>1016.8</v>
      </c>
      <c r="X11" s="121">
        <f t="shared" si="2"/>
        <v>1026.9739424872757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20.890199660830618</v>
      </c>
      <c r="AI11">
        <f t="shared" si="5"/>
        <v>18.406640869300837</v>
      </c>
      <c r="AJ11">
        <f t="shared" si="6"/>
        <v>16.808640869300838</v>
      </c>
      <c r="AK11">
        <f t="shared" si="12"/>
        <v>14.783974235181072</v>
      </c>
    </row>
    <row r="12" spans="1:37" ht="12.75">
      <c r="A12" s="72">
        <v>4</v>
      </c>
      <c r="B12" s="73">
        <v>19.4</v>
      </c>
      <c r="C12" s="74">
        <v>19</v>
      </c>
      <c r="D12" s="74">
        <v>25.7</v>
      </c>
      <c r="E12" s="74">
        <v>14.8</v>
      </c>
      <c r="F12" s="75">
        <f t="shared" si="0"/>
        <v>20.25</v>
      </c>
      <c r="G12" s="67">
        <f t="shared" si="7"/>
        <v>96.11917118414934</v>
      </c>
      <c r="H12" s="76">
        <f t="shared" si="1"/>
        <v>18.765311781302298</v>
      </c>
      <c r="I12" s="77">
        <v>14.1</v>
      </c>
      <c r="J12" s="75"/>
      <c r="K12" s="77">
        <v>19.1</v>
      </c>
      <c r="L12" s="74">
        <v>18</v>
      </c>
      <c r="M12" s="74"/>
      <c r="N12" s="74">
        <v>16.1</v>
      </c>
      <c r="O12" s="75">
        <v>15</v>
      </c>
      <c r="P12" s="78" t="s">
        <v>110</v>
      </c>
      <c r="Q12" s="79">
        <v>24</v>
      </c>
      <c r="R12" s="76">
        <v>10.3</v>
      </c>
      <c r="S12" s="76"/>
      <c r="T12" s="76">
        <v>0</v>
      </c>
      <c r="U12" s="76"/>
      <c r="V12" s="80">
        <v>5</v>
      </c>
      <c r="W12" s="73">
        <v>1005.8</v>
      </c>
      <c r="X12" s="121">
        <f t="shared" si="2"/>
        <v>1015.8223576167901</v>
      </c>
      <c r="Y12" s="127">
        <v>0</v>
      </c>
      <c r="Z12" s="134">
        <v>0</v>
      </c>
      <c r="AA12" s="127">
        <v>1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22.51723138592285</v>
      </c>
      <c r="AI12">
        <f t="shared" si="5"/>
        <v>21.962976181766184</v>
      </c>
      <c r="AJ12">
        <f t="shared" si="6"/>
        <v>21.643376181766186</v>
      </c>
      <c r="AK12">
        <f t="shared" si="12"/>
        <v>18.765311781302298</v>
      </c>
    </row>
    <row r="13" spans="1:37" ht="12.75">
      <c r="A13" s="63">
        <v>5</v>
      </c>
      <c r="B13" s="64">
        <v>17</v>
      </c>
      <c r="C13" s="65">
        <v>15.2</v>
      </c>
      <c r="D13" s="65">
        <v>23.1</v>
      </c>
      <c r="E13" s="65">
        <v>8.5</v>
      </c>
      <c r="F13" s="66">
        <f t="shared" si="0"/>
        <v>15.8</v>
      </c>
      <c r="G13" s="67">
        <f t="shared" si="7"/>
        <v>81.71989910291812</v>
      </c>
      <c r="H13" s="67">
        <f t="shared" si="1"/>
        <v>13.854136742657438</v>
      </c>
      <c r="I13" s="68">
        <v>4.9</v>
      </c>
      <c r="J13" s="66"/>
      <c r="K13" s="68">
        <v>17.8</v>
      </c>
      <c r="L13" s="65">
        <v>16.6</v>
      </c>
      <c r="M13" s="65"/>
      <c r="N13" s="65">
        <v>16</v>
      </c>
      <c r="O13" s="66">
        <v>15.1</v>
      </c>
      <c r="P13" s="69" t="s">
        <v>111</v>
      </c>
      <c r="Q13" s="70">
        <v>25</v>
      </c>
      <c r="R13" s="67">
        <v>10.5</v>
      </c>
      <c r="S13" s="67"/>
      <c r="T13" s="67">
        <v>3.5</v>
      </c>
      <c r="U13" s="67"/>
      <c r="V13" s="71">
        <v>8</v>
      </c>
      <c r="W13" s="64">
        <v>1007.3</v>
      </c>
      <c r="X13" s="121">
        <f t="shared" si="2"/>
        <v>1017.4208154373607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19.367110246872254</v>
      </c>
      <c r="AI13">
        <f t="shared" si="5"/>
        <v>17.264982952894922</v>
      </c>
      <c r="AJ13">
        <f t="shared" si="6"/>
        <v>15.826782952894922</v>
      </c>
      <c r="AK13">
        <f t="shared" si="12"/>
        <v>13.854136742657438</v>
      </c>
    </row>
    <row r="14" spans="1:37" ht="12.75">
      <c r="A14" s="72">
        <v>6</v>
      </c>
      <c r="B14" s="73">
        <v>17</v>
      </c>
      <c r="C14" s="74">
        <v>15.1</v>
      </c>
      <c r="D14" s="74">
        <v>18.5</v>
      </c>
      <c r="E14" s="74">
        <v>9.6</v>
      </c>
      <c r="F14" s="75">
        <f t="shared" si="0"/>
        <v>14.05</v>
      </c>
      <c r="G14" s="67">
        <f t="shared" si="7"/>
        <v>80.73590076653919</v>
      </c>
      <c r="H14" s="76">
        <f t="shared" si="1"/>
        <v>13.667813616332808</v>
      </c>
      <c r="I14" s="77">
        <v>6.7</v>
      </c>
      <c r="J14" s="75"/>
      <c r="K14" s="77">
        <v>16.8</v>
      </c>
      <c r="L14" s="74">
        <v>15</v>
      </c>
      <c r="M14" s="74"/>
      <c r="N14" s="74">
        <v>15.8</v>
      </c>
      <c r="O14" s="75">
        <v>15.1</v>
      </c>
      <c r="P14" s="78" t="s">
        <v>112</v>
      </c>
      <c r="Q14" s="79">
        <v>15</v>
      </c>
      <c r="R14" s="76">
        <v>4</v>
      </c>
      <c r="S14" s="76"/>
      <c r="T14" s="76">
        <v>1</v>
      </c>
      <c r="U14" s="76"/>
      <c r="V14" s="80">
        <v>5</v>
      </c>
      <c r="W14" s="73">
        <v>1008.1</v>
      </c>
      <c r="X14" s="121">
        <f t="shared" si="2"/>
        <v>1018.2288534124922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19.367110246872254</v>
      </c>
      <c r="AI14">
        <f t="shared" si="5"/>
        <v>17.154310910261028</v>
      </c>
      <c r="AJ14">
        <f t="shared" si="6"/>
        <v>15.636210910261028</v>
      </c>
      <c r="AK14">
        <f t="shared" si="12"/>
        <v>13.667813616332808</v>
      </c>
    </row>
    <row r="15" spans="1:37" ht="12.75">
      <c r="A15" s="63">
        <v>7</v>
      </c>
      <c r="B15" s="64">
        <v>18.1</v>
      </c>
      <c r="C15" s="65">
        <v>16</v>
      </c>
      <c r="D15" s="65">
        <v>20.1</v>
      </c>
      <c r="E15" s="65">
        <v>13.8</v>
      </c>
      <c r="F15" s="66">
        <f t="shared" si="0"/>
        <v>16.950000000000003</v>
      </c>
      <c r="G15" s="67">
        <f t="shared" si="7"/>
        <v>79.45925922214491</v>
      </c>
      <c r="H15" s="67">
        <f t="shared" si="1"/>
        <v>14.49249340038396</v>
      </c>
      <c r="I15" s="68">
        <v>13.1</v>
      </c>
      <c r="J15" s="66"/>
      <c r="K15" s="68">
        <v>17</v>
      </c>
      <c r="L15" s="65">
        <v>16</v>
      </c>
      <c r="M15" s="65"/>
      <c r="N15" s="65">
        <v>15.6</v>
      </c>
      <c r="O15" s="66">
        <v>15</v>
      </c>
      <c r="P15" s="69" t="s">
        <v>130</v>
      </c>
      <c r="Q15" s="70">
        <v>26</v>
      </c>
      <c r="R15" s="67">
        <v>7</v>
      </c>
      <c r="S15" s="67"/>
      <c r="T15" s="67">
        <v>3.8</v>
      </c>
      <c r="U15" s="67"/>
      <c r="V15" s="71">
        <v>8</v>
      </c>
      <c r="W15" s="64">
        <v>996.3</v>
      </c>
      <c r="X15" s="121">
        <f t="shared" si="2"/>
        <v>1006.2722654340592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20.75938576154699</v>
      </c>
      <c r="AI15">
        <f t="shared" si="5"/>
        <v>18.173154145192665</v>
      </c>
      <c r="AJ15">
        <f t="shared" si="6"/>
        <v>16.495254145192664</v>
      </c>
      <c r="AK15">
        <f t="shared" si="12"/>
        <v>14.49249340038396</v>
      </c>
    </row>
    <row r="16" spans="1:37" ht="12.75">
      <c r="A16" s="72">
        <v>8</v>
      </c>
      <c r="B16" s="73">
        <v>15.1</v>
      </c>
      <c r="C16" s="74">
        <v>13.3</v>
      </c>
      <c r="D16" s="74">
        <v>17.7</v>
      </c>
      <c r="E16" s="74">
        <v>13.1</v>
      </c>
      <c r="F16" s="75">
        <f t="shared" si="0"/>
        <v>15.399999999999999</v>
      </c>
      <c r="G16" s="67">
        <f t="shared" si="7"/>
        <v>80.60782873865324</v>
      </c>
      <c r="H16" s="76">
        <f t="shared" si="1"/>
        <v>11.792733828869459</v>
      </c>
      <c r="I16" s="77">
        <v>12</v>
      </c>
      <c r="J16" s="75"/>
      <c r="K16" s="77">
        <v>16</v>
      </c>
      <c r="L16" s="74">
        <v>15</v>
      </c>
      <c r="M16" s="74"/>
      <c r="N16" s="74">
        <v>15.4</v>
      </c>
      <c r="O16" s="75">
        <v>15</v>
      </c>
      <c r="P16" s="78" t="s">
        <v>131</v>
      </c>
      <c r="Q16" s="79">
        <v>25</v>
      </c>
      <c r="R16" s="76">
        <v>9.3</v>
      </c>
      <c r="S16" s="76"/>
      <c r="T16" s="76" t="s">
        <v>108</v>
      </c>
      <c r="U16" s="76"/>
      <c r="V16" s="80">
        <v>4</v>
      </c>
      <c r="W16" s="73">
        <v>998.5</v>
      </c>
      <c r="X16" s="121">
        <f t="shared" si="2"/>
        <v>1008.5989163786784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17.154310910261028</v>
      </c>
      <c r="AI16">
        <f t="shared" si="5"/>
        <v>15.265917559839318</v>
      </c>
      <c r="AJ16">
        <f t="shared" si="6"/>
        <v>13.827717559839318</v>
      </c>
      <c r="AK16">
        <f t="shared" si="12"/>
        <v>11.792733828869459</v>
      </c>
    </row>
    <row r="17" spans="1:47" ht="12.75">
      <c r="A17" s="63">
        <v>9</v>
      </c>
      <c r="B17" s="64">
        <v>13.5</v>
      </c>
      <c r="C17" s="65">
        <v>12.1</v>
      </c>
      <c r="D17" s="65">
        <v>20.8</v>
      </c>
      <c r="E17" s="65">
        <v>7.7</v>
      </c>
      <c r="F17" s="66">
        <f t="shared" si="0"/>
        <v>14.25</v>
      </c>
      <c r="G17" s="67">
        <f t="shared" si="7"/>
        <v>84.0034890628465</v>
      </c>
      <c r="H17" s="67">
        <f t="shared" si="1"/>
        <v>10.852570238190717</v>
      </c>
      <c r="I17" s="68">
        <v>5.1</v>
      </c>
      <c r="J17" s="66"/>
      <c r="K17" s="68">
        <v>11.7</v>
      </c>
      <c r="L17" s="65">
        <v>12.4</v>
      </c>
      <c r="M17" s="65"/>
      <c r="N17" s="65">
        <v>15.2</v>
      </c>
      <c r="O17" s="66">
        <v>15</v>
      </c>
      <c r="P17" s="69" t="s">
        <v>107</v>
      </c>
      <c r="Q17" s="70">
        <v>15</v>
      </c>
      <c r="R17" s="67">
        <v>8</v>
      </c>
      <c r="S17" s="67"/>
      <c r="T17" s="67">
        <v>0</v>
      </c>
      <c r="U17" s="67"/>
      <c r="V17" s="71">
        <v>3</v>
      </c>
      <c r="W17" s="64">
        <v>1013.5</v>
      </c>
      <c r="X17" s="121">
        <f t="shared" si="2"/>
        <v>1023.8081832494677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15.4662986641253</v>
      </c>
      <c r="AI17">
        <f t="shared" si="5"/>
        <v>14.110830506745673</v>
      </c>
      <c r="AJ17">
        <f t="shared" si="6"/>
        <v>12.992230506745672</v>
      </c>
      <c r="AK17">
        <f t="shared" si="12"/>
        <v>10.852570238190717</v>
      </c>
      <c r="AU17">
        <f aca="true" t="shared" si="13" ref="AU17:AU47">W9*(10^(85/(18429.1+(67.53*B9)+(0.003*31)))-1)</f>
        <v>9.754094270170125</v>
      </c>
    </row>
    <row r="18" spans="1:47" ht="12.75">
      <c r="A18" s="72">
        <v>10</v>
      </c>
      <c r="B18" s="73">
        <v>20</v>
      </c>
      <c r="C18" s="74">
        <v>17.7</v>
      </c>
      <c r="D18" s="74">
        <v>26.4</v>
      </c>
      <c r="E18" s="74">
        <v>9</v>
      </c>
      <c r="F18" s="75">
        <f t="shared" si="0"/>
        <v>17.7</v>
      </c>
      <c r="G18" s="67">
        <f t="shared" si="7"/>
        <v>78.7519829915091</v>
      </c>
      <c r="H18" s="76">
        <f t="shared" si="1"/>
        <v>16.199096154071064</v>
      </c>
      <c r="I18" s="77">
        <v>6.5</v>
      </c>
      <c r="J18" s="75"/>
      <c r="K18" s="77">
        <v>18.6</v>
      </c>
      <c r="L18" s="74">
        <v>16.3</v>
      </c>
      <c r="M18" s="74"/>
      <c r="N18" s="74">
        <v>15.1</v>
      </c>
      <c r="O18" s="75">
        <v>14.9</v>
      </c>
      <c r="P18" s="78" t="s">
        <v>132</v>
      </c>
      <c r="Q18" s="79">
        <v>15</v>
      </c>
      <c r="R18" s="76">
        <v>7</v>
      </c>
      <c r="S18" s="76"/>
      <c r="T18" s="76">
        <v>0</v>
      </c>
      <c r="U18" s="76"/>
      <c r="V18" s="80">
        <v>7</v>
      </c>
      <c r="W18" s="73">
        <v>1010.6</v>
      </c>
      <c r="X18" s="121">
        <f t="shared" si="2"/>
        <v>1020.649456976139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23.37157630766442</v>
      </c>
      <c r="AI18">
        <f t="shared" si="5"/>
        <v>20.243279798659454</v>
      </c>
      <c r="AJ18">
        <f t="shared" si="6"/>
        <v>18.405579798659453</v>
      </c>
      <c r="AK18">
        <f t="shared" si="12"/>
        <v>16.199096154071064</v>
      </c>
      <c r="AU18">
        <f t="shared" si="13"/>
        <v>10.028037479984336</v>
      </c>
    </row>
    <row r="19" spans="1:47" ht="12.75">
      <c r="A19" s="63">
        <v>11</v>
      </c>
      <c r="B19" s="64">
        <v>18.5</v>
      </c>
      <c r="C19" s="65">
        <v>15.2</v>
      </c>
      <c r="D19" s="65">
        <v>23.2</v>
      </c>
      <c r="E19" s="65">
        <v>13.9</v>
      </c>
      <c r="F19" s="66">
        <f t="shared" si="0"/>
        <v>18.55</v>
      </c>
      <c r="G19" s="67">
        <f t="shared" si="7"/>
        <v>68.71937487315527</v>
      </c>
      <c r="H19" s="67">
        <f t="shared" si="1"/>
        <v>12.647855825947625</v>
      </c>
      <c r="I19" s="68">
        <v>10.1</v>
      </c>
      <c r="J19" s="66"/>
      <c r="K19" s="68">
        <v>20.6</v>
      </c>
      <c r="L19" s="65">
        <v>18.7</v>
      </c>
      <c r="M19" s="65"/>
      <c r="N19" s="65">
        <v>15.6</v>
      </c>
      <c r="O19" s="66">
        <v>14.9</v>
      </c>
      <c r="P19" s="69" t="s">
        <v>107</v>
      </c>
      <c r="Q19" s="70">
        <v>18</v>
      </c>
      <c r="R19" s="67">
        <v>6</v>
      </c>
      <c r="S19" s="67"/>
      <c r="T19" s="67">
        <v>3.5</v>
      </c>
      <c r="U19" s="67"/>
      <c r="V19" s="71">
        <v>4</v>
      </c>
      <c r="W19" s="64">
        <v>1006.5</v>
      </c>
      <c r="X19" s="121">
        <f t="shared" si="2"/>
        <v>1016.5604626800555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21.286984900395762</v>
      </c>
      <c r="AI19">
        <f t="shared" si="5"/>
        <v>17.264982952894922</v>
      </c>
      <c r="AJ19">
        <f t="shared" si="6"/>
        <v>14.62828295289492</v>
      </c>
      <c r="AK19">
        <f t="shared" si="12"/>
        <v>12.647855825947625</v>
      </c>
      <c r="AU19">
        <f t="shared" si="13"/>
        <v>10.173942487275724</v>
      </c>
    </row>
    <row r="20" spans="1:47" ht="12.75">
      <c r="A20" s="72">
        <v>12</v>
      </c>
      <c r="B20" s="73">
        <v>17</v>
      </c>
      <c r="C20" s="74">
        <v>15.1</v>
      </c>
      <c r="D20" s="74">
        <v>22.7</v>
      </c>
      <c r="E20" s="74">
        <v>9.6</v>
      </c>
      <c r="F20" s="75">
        <f t="shared" si="0"/>
        <v>16.15</v>
      </c>
      <c r="G20" s="67">
        <f t="shared" si="7"/>
        <v>80.73590076653919</v>
      </c>
      <c r="H20" s="76">
        <f t="shared" si="1"/>
        <v>13.667813616332808</v>
      </c>
      <c r="I20" s="77">
        <v>6.7</v>
      </c>
      <c r="J20" s="75"/>
      <c r="K20" s="77">
        <v>16.8</v>
      </c>
      <c r="L20" s="74">
        <v>15</v>
      </c>
      <c r="M20" s="74"/>
      <c r="N20" s="74">
        <v>15.8</v>
      </c>
      <c r="O20" s="75">
        <v>15.1</v>
      </c>
      <c r="P20" s="78" t="s">
        <v>133</v>
      </c>
      <c r="Q20" s="79">
        <v>26</v>
      </c>
      <c r="R20" s="76">
        <v>8.1</v>
      </c>
      <c r="S20" s="76"/>
      <c r="T20" s="76">
        <v>0.4</v>
      </c>
      <c r="U20" s="76"/>
      <c r="V20" s="80">
        <v>5</v>
      </c>
      <c r="W20" s="73">
        <v>1008.1</v>
      </c>
      <c r="X20" s="121">
        <f t="shared" si="2"/>
        <v>1018.2288534124922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19.367110246872254</v>
      </c>
      <c r="AI20">
        <f t="shared" si="5"/>
        <v>17.154310910261028</v>
      </c>
      <c r="AJ20">
        <f t="shared" si="6"/>
        <v>15.636210910261028</v>
      </c>
      <c r="AK20">
        <f t="shared" si="12"/>
        <v>13.667813616332808</v>
      </c>
      <c r="AU20">
        <f t="shared" si="13"/>
        <v>10.022357616790192</v>
      </c>
    </row>
    <row r="21" spans="1:47" ht="12.75">
      <c r="A21" s="63">
        <v>13</v>
      </c>
      <c r="B21" s="64">
        <v>14.1</v>
      </c>
      <c r="C21" s="65">
        <v>14</v>
      </c>
      <c r="D21" s="65">
        <v>19.6</v>
      </c>
      <c r="E21" s="65">
        <v>12.5</v>
      </c>
      <c r="F21" s="66">
        <f t="shared" si="0"/>
        <v>16.05</v>
      </c>
      <c r="G21" s="67">
        <f t="shared" si="7"/>
        <v>98.85656459028512</v>
      </c>
      <c r="H21" s="67">
        <f t="shared" si="1"/>
        <v>13.922769326654576</v>
      </c>
      <c r="I21" s="68">
        <v>9</v>
      </c>
      <c r="J21" s="66"/>
      <c r="K21" s="68">
        <v>16.2</v>
      </c>
      <c r="L21" s="65">
        <v>16.7</v>
      </c>
      <c r="M21" s="65"/>
      <c r="N21" s="65">
        <v>15.9</v>
      </c>
      <c r="O21" s="66">
        <v>15.1</v>
      </c>
      <c r="P21" s="69" t="s">
        <v>111</v>
      </c>
      <c r="Q21" s="70">
        <v>19</v>
      </c>
      <c r="R21" s="67">
        <v>0</v>
      </c>
      <c r="S21" s="67"/>
      <c r="T21" s="67">
        <v>4.8</v>
      </c>
      <c r="U21" s="67"/>
      <c r="V21" s="71">
        <v>8</v>
      </c>
      <c r="W21" s="64">
        <v>1003.8</v>
      </c>
      <c r="X21" s="121">
        <f t="shared" si="2"/>
        <v>1013.9880741249718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16.081373099585093</v>
      </c>
      <c r="AI21">
        <f t="shared" si="5"/>
        <v>15.977392985196072</v>
      </c>
      <c r="AJ21">
        <f t="shared" si="6"/>
        <v>15.897492985196072</v>
      </c>
      <c r="AK21">
        <f t="shared" si="12"/>
        <v>13.922769326654576</v>
      </c>
      <c r="AU21">
        <f t="shared" si="13"/>
        <v>10.120815437360719</v>
      </c>
    </row>
    <row r="22" spans="1:47" ht="12.75">
      <c r="A22" s="72">
        <v>14</v>
      </c>
      <c r="B22" s="73">
        <v>18.5</v>
      </c>
      <c r="C22" s="74">
        <v>17.2</v>
      </c>
      <c r="D22" s="74">
        <v>20.8</v>
      </c>
      <c r="E22" s="74">
        <v>14.2</v>
      </c>
      <c r="F22" s="75">
        <f t="shared" si="0"/>
        <v>17.5</v>
      </c>
      <c r="G22" s="67">
        <f t="shared" si="7"/>
        <v>87.26123104707483</v>
      </c>
      <c r="H22" s="76">
        <f t="shared" si="1"/>
        <v>16.343077715204107</v>
      </c>
      <c r="I22" s="77">
        <v>14.7</v>
      </c>
      <c r="J22" s="75"/>
      <c r="K22" s="77">
        <v>18.8</v>
      </c>
      <c r="L22" s="74">
        <v>17.5</v>
      </c>
      <c r="M22" s="74"/>
      <c r="N22" s="74">
        <v>15.9</v>
      </c>
      <c r="O22" s="75">
        <v>15.1</v>
      </c>
      <c r="P22" s="78" t="s">
        <v>134</v>
      </c>
      <c r="Q22" s="79">
        <v>18</v>
      </c>
      <c r="R22" s="76">
        <v>3</v>
      </c>
      <c r="S22" s="76"/>
      <c r="T22" s="76">
        <v>1</v>
      </c>
      <c r="U22" s="76"/>
      <c r="V22" s="80">
        <v>5</v>
      </c>
      <c r="W22" s="73">
        <v>1006.5</v>
      </c>
      <c r="X22" s="121">
        <f t="shared" si="2"/>
        <v>1016.5604626800555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21.286984900395762</v>
      </c>
      <c r="AI22">
        <f t="shared" si="5"/>
        <v>19.61398507689028</v>
      </c>
      <c r="AJ22">
        <f t="shared" si="6"/>
        <v>18.575285076890278</v>
      </c>
      <c r="AK22">
        <f t="shared" si="12"/>
        <v>16.343077715204107</v>
      </c>
      <c r="AU22">
        <f t="shared" si="13"/>
        <v>10.128853412492148</v>
      </c>
    </row>
    <row r="23" spans="1:47" ht="12.75">
      <c r="A23" s="63">
        <v>15</v>
      </c>
      <c r="B23" s="64">
        <v>15.8</v>
      </c>
      <c r="C23" s="65">
        <v>13.8</v>
      </c>
      <c r="D23" s="65">
        <v>20.8</v>
      </c>
      <c r="E23" s="65">
        <v>12</v>
      </c>
      <c r="F23" s="66">
        <f t="shared" si="0"/>
        <v>16.4</v>
      </c>
      <c r="G23" s="67">
        <f t="shared" si="7"/>
        <v>78.99336526213074</v>
      </c>
      <c r="H23" s="67">
        <f t="shared" si="1"/>
        <v>12.166963933886333</v>
      </c>
      <c r="I23" s="68">
        <v>12.3</v>
      </c>
      <c r="J23" s="66"/>
      <c r="K23" s="68">
        <v>18.2</v>
      </c>
      <c r="L23" s="65">
        <v>17.3</v>
      </c>
      <c r="M23" s="65"/>
      <c r="N23" s="65">
        <v>16</v>
      </c>
      <c r="O23" s="66">
        <v>15.2</v>
      </c>
      <c r="P23" s="69" t="s">
        <v>134</v>
      </c>
      <c r="Q23" s="70">
        <v>20</v>
      </c>
      <c r="R23" s="67">
        <v>12</v>
      </c>
      <c r="S23" s="67"/>
      <c r="T23" s="67">
        <v>0</v>
      </c>
      <c r="U23" s="67"/>
      <c r="V23" s="71">
        <v>8</v>
      </c>
      <c r="W23" s="64">
        <v>1009.5</v>
      </c>
      <c r="X23" s="121">
        <f t="shared" si="2"/>
        <v>1019.685290980894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15</v>
      </c>
      <c r="AH23">
        <f t="shared" si="11"/>
        <v>17.942269597987615</v>
      </c>
      <c r="AI23">
        <f t="shared" si="5"/>
        <v>15.771202559854595</v>
      </c>
      <c r="AJ23">
        <f t="shared" si="6"/>
        <v>14.173202559854595</v>
      </c>
      <c r="AK23">
        <f t="shared" si="12"/>
        <v>12.166963933886333</v>
      </c>
      <c r="AU23">
        <f t="shared" si="13"/>
        <v>9.972265434059324</v>
      </c>
    </row>
    <row r="24" spans="1:47" ht="12.75">
      <c r="A24" s="72">
        <v>16</v>
      </c>
      <c r="B24" s="73">
        <v>15.9</v>
      </c>
      <c r="C24" s="74">
        <v>14.2</v>
      </c>
      <c r="D24" s="74">
        <v>24.4</v>
      </c>
      <c r="E24" s="74">
        <v>5.1</v>
      </c>
      <c r="F24" s="75">
        <f t="shared" si="0"/>
        <v>14.75</v>
      </c>
      <c r="G24" s="67">
        <f t="shared" si="7"/>
        <v>82.11401812257533</v>
      </c>
      <c r="H24" s="76">
        <f t="shared" si="1"/>
        <v>12.854396588647193</v>
      </c>
      <c r="I24" s="77">
        <v>2.1</v>
      </c>
      <c r="J24" s="75"/>
      <c r="K24" s="77">
        <v>15.4</v>
      </c>
      <c r="L24" s="74">
        <v>15</v>
      </c>
      <c r="M24" s="74"/>
      <c r="N24" s="74">
        <v>15.8</v>
      </c>
      <c r="O24" s="75">
        <v>15.2</v>
      </c>
      <c r="P24" s="78" t="s">
        <v>135</v>
      </c>
      <c r="Q24" s="79">
        <v>19</v>
      </c>
      <c r="R24" s="76">
        <v>7</v>
      </c>
      <c r="S24" s="76"/>
      <c r="T24" s="76" t="s">
        <v>108</v>
      </c>
      <c r="U24" s="76"/>
      <c r="V24" s="80">
        <v>5</v>
      </c>
      <c r="W24" s="73">
        <v>1009.3</v>
      </c>
      <c r="X24" s="121">
        <f t="shared" si="2"/>
        <v>1019.4797293527371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18.057388147749236</v>
      </c>
      <c r="AI24">
        <f t="shared" si="5"/>
        <v>16.185946976106578</v>
      </c>
      <c r="AJ24">
        <f t="shared" si="6"/>
        <v>14.827646976106577</v>
      </c>
      <c r="AK24">
        <f t="shared" si="12"/>
        <v>12.854396588647193</v>
      </c>
      <c r="AU24">
        <f t="shared" si="13"/>
        <v>10.098916378678334</v>
      </c>
    </row>
    <row r="25" spans="1:47" ht="12.75">
      <c r="A25" s="63">
        <v>17</v>
      </c>
      <c r="B25" s="64">
        <v>19.3</v>
      </c>
      <c r="C25" s="65">
        <v>16.5</v>
      </c>
      <c r="D25" s="65">
        <v>21.3</v>
      </c>
      <c r="E25" s="65">
        <v>13.9</v>
      </c>
      <c r="F25" s="66">
        <f t="shared" si="0"/>
        <v>17.6</v>
      </c>
      <c r="G25" s="67">
        <f t="shared" si="7"/>
        <v>73.84462535981976</v>
      </c>
      <c r="H25" s="67">
        <f t="shared" si="1"/>
        <v>14.519997567507064</v>
      </c>
      <c r="I25" s="68">
        <v>12</v>
      </c>
      <c r="J25" s="66"/>
      <c r="K25" s="68">
        <v>17</v>
      </c>
      <c r="L25" s="65">
        <v>16</v>
      </c>
      <c r="M25" s="65"/>
      <c r="N25" s="65">
        <v>15.8</v>
      </c>
      <c r="O25" s="66">
        <v>15.2</v>
      </c>
      <c r="P25" s="69" t="s">
        <v>136</v>
      </c>
      <c r="Q25" s="70">
        <v>25</v>
      </c>
      <c r="R25" s="67">
        <v>10.7</v>
      </c>
      <c r="S25" s="67"/>
      <c r="T25" s="67">
        <v>0</v>
      </c>
      <c r="U25" s="67"/>
      <c r="V25" s="71">
        <v>6</v>
      </c>
      <c r="W25" s="64">
        <v>998.6</v>
      </c>
      <c r="X25" s="121">
        <f t="shared" si="2"/>
        <v>1008.5540350457796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22.37753182360666</v>
      </c>
      <c r="AI25">
        <f t="shared" si="5"/>
        <v>18.76180453991678</v>
      </c>
      <c r="AJ25">
        <f t="shared" si="6"/>
        <v>16.52460453991678</v>
      </c>
      <c r="AK25">
        <f t="shared" si="12"/>
        <v>14.519997567507064</v>
      </c>
      <c r="AU25">
        <f t="shared" si="13"/>
        <v>10.308183249467655</v>
      </c>
    </row>
    <row r="26" spans="1:47" ht="12.75">
      <c r="A26" s="72">
        <v>18</v>
      </c>
      <c r="B26" s="73">
        <v>16.5</v>
      </c>
      <c r="C26" s="74">
        <v>14.1</v>
      </c>
      <c r="D26" s="74">
        <v>22.1</v>
      </c>
      <c r="E26" s="74">
        <v>9.9</v>
      </c>
      <c r="F26" s="75">
        <f t="shared" si="0"/>
        <v>16</v>
      </c>
      <c r="G26" s="67">
        <f t="shared" si="7"/>
        <v>75.49259491245034</v>
      </c>
      <c r="H26" s="76">
        <f t="shared" si="1"/>
        <v>12.156856911401048</v>
      </c>
      <c r="I26" s="77">
        <v>7.5</v>
      </c>
      <c r="J26" s="75"/>
      <c r="K26" s="77">
        <v>16.1</v>
      </c>
      <c r="L26" s="74">
        <v>15.5</v>
      </c>
      <c r="M26" s="74"/>
      <c r="N26" s="74">
        <v>15.9</v>
      </c>
      <c r="O26" s="75">
        <v>15.2</v>
      </c>
      <c r="P26" s="78" t="s">
        <v>136</v>
      </c>
      <c r="Q26" s="79">
        <v>25</v>
      </c>
      <c r="R26" s="76">
        <v>9</v>
      </c>
      <c r="S26" s="76"/>
      <c r="T26" s="76">
        <v>5.3</v>
      </c>
      <c r="U26" s="76"/>
      <c r="V26" s="80">
        <v>4</v>
      </c>
      <c r="W26" s="73">
        <v>1005.9</v>
      </c>
      <c r="X26" s="121">
        <f t="shared" si="2"/>
        <v>1016.0242978890917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18.76180453991678</v>
      </c>
      <c r="AI26">
        <f t="shared" si="5"/>
        <v>16.081373099585093</v>
      </c>
      <c r="AJ26">
        <f t="shared" si="6"/>
        <v>14.163773099585093</v>
      </c>
      <c r="AK26">
        <f t="shared" si="12"/>
        <v>12.156856911401048</v>
      </c>
      <c r="AU26">
        <f t="shared" si="13"/>
        <v>10.049456976139073</v>
      </c>
    </row>
    <row r="27" spans="1:47" ht="12.75">
      <c r="A27" s="63">
        <v>19</v>
      </c>
      <c r="B27" s="64">
        <v>14.3</v>
      </c>
      <c r="C27" s="65">
        <v>14.2</v>
      </c>
      <c r="D27" s="65">
        <v>20.8</v>
      </c>
      <c r="E27" s="65">
        <v>12.5</v>
      </c>
      <c r="F27" s="66">
        <f t="shared" si="0"/>
        <v>16.65</v>
      </c>
      <c r="G27" s="67">
        <f t="shared" si="7"/>
        <v>98.86397895355773</v>
      </c>
      <c r="H27" s="67">
        <f t="shared" si="1"/>
        <v>14.123646043782127</v>
      </c>
      <c r="I27" s="68">
        <v>9.2</v>
      </c>
      <c r="J27" s="66"/>
      <c r="K27" s="68">
        <v>16.8</v>
      </c>
      <c r="L27" s="65">
        <v>16.7</v>
      </c>
      <c r="M27" s="65"/>
      <c r="N27" s="65">
        <v>15.9</v>
      </c>
      <c r="O27" s="66">
        <v>15.2</v>
      </c>
      <c r="P27" s="69" t="s">
        <v>136</v>
      </c>
      <c r="Q27" s="70">
        <v>21</v>
      </c>
      <c r="R27" s="67">
        <v>9.8</v>
      </c>
      <c r="S27" s="67"/>
      <c r="T27" s="67">
        <v>0</v>
      </c>
      <c r="U27" s="67"/>
      <c r="V27" s="71">
        <v>4</v>
      </c>
      <c r="W27" s="64">
        <v>997.6</v>
      </c>
      <c r="X27" s="121">
        <f t="shared" si="2"/>
        <v>1007.7180607067364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16.291117499602702</v>
      </c>
      <c r="AI27">
        <f t="shared" si="5"/>
        <v>16.185946976106578</v>
      </c>
      <c r="AJ27">
        <f t="shared" si="6"/>
        <v>16.106046976106576</v>
      </c>
      <c r="AK27">
        <f t="shared" si="12"/>
        <v>14.123646043782127</v>
      </c>
      <c r="AU27">
        <f t="shared" si="13"/>
        <v>10.060462680055537</v>
      </c>
    </row>
    <row r="28" spans="1:47" ht="12.75">
      <c r="A28" s="72">
        <v>20</v>
      </c>
      <c r="B28" s="73">
        <v>20.3</v>
      </c>
      <c r="C28" s="74">
        <v>17.2</v>
      </c>
      <c r="D28" s="74">
        <v>23.2</v>
      </c>
      <c r="E28" s="74">
        <v>7.5</v>
      </c>
      <c r="F28" s="75">
        <f t="shared" si="0"/>
        <v>15.35</v>
      </c>
      <c r="G28" s="67">
        <f t="shared" si="7"/>
        <v>71.9764642250831</v>
      </c>
      <c r="H28" s="76">
        <f t="shared" si="1"/>
        <v>15.084384349675787</v>
      </c>
      <c r="I28" s="77">
        <v>4.1</v>
      </c>
      <c r="J28" s="75"/>
      <c r="K28" s="77">
        <v>21.2</v>
      </c>
      <c r="L28" s="74">
        <v>18.3</v>
      </c>
      <c r="M28" s="74"/>
      <c r="N28" s="74">
        <v>15.6</v>
      </c>
      <c r="O28" s="75">
        <v>15.2</v>
      </c>
      <c r="P28" s="78" t="s">
        <v>132</v>
      </c>
      <c r="Q28" s="79">
        <v>19</v>
      </c>
      <c r="R28" s="76">
        <v>8</v>
      </c>
      <c r="S28" s="76"/>
      <c r="T28" s="76">
        <v>0.7</v>
      </c>
      <c r="U28" s="76"/>
      <c r="V28" s="80">
        <v>7</v>
      </c>
      <c r="W28" s="73">
        <v>998.5</v>
      </c>
      <c r="X28" s="121">
        <f t="shared" si="2"/>
        <v>1008.4189243939978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23.809289969148235</v>
      </c>
      <c r="AI28">
        <f t="shared" si="5"/>
        <v>19.61398507689028</v>
      </c>
      <c r="AJ28">
        <f t="shared" si="6"/>
        <v>17.13708507689028</v>
      </c>
      <c r="AK28">
        <f t="shared" si="12"/>
        <v>15.084384349675787</v>
      </c>
      <c r="AU28">
        <f t="shared" si="13"/>
        <v>10.128853412492148</v>
      </c>
    </row>
    <row r="29" spans="1:47" ht="12.75">
      <c r="A29" s="63">
        <v>21</v>
      </c>
      <c r="B29" s="64">
        <v>18.3</v>
      </c>
      <c r="C29" s="65">
        <v>16.9</v>
      </c>
      <c r="D29" s="65">
        <v>22.7</v>
      </c>
      <c r="E29" s="65">
        <v>11.7</v>
      </c>
      <c r="F29" s="66">
        <f t="shared" si="0"/>
        <v>17.2</v>
      </c>
      <c r="G29" s="67">
        <f t="shared" si="7"/>
        <v>86.22550637082298</v>
      </c>
      <c r="H29" s="67">
        <f t="shared" si="1"/>
        <v>15.95941965790462</v>
      </c>
      <c r="I29" s="68">
        <v>8</v>
      </c>
      <c r="J29" s="66"/>
      <c r="K29" s="68">
        <v>17.4</v>
      </c>
      <c r="L29" s="65">
        <v>16.4</v>
      </c>
      <c r="M29" s="65"/>
      <c r="N29" s="65">
        <v>15.7</v>
      </c>
      <c r="O29" s="66">
        <v>15.2</v>
      </c>
      <c r="P29" s="69" t="s">
        <v>133</v>
      </c>
      <c r="Q29" s="70">
        <v>26</v>
      </c>
      <c r="R29" s="67">
        <v>8.1</v>
      </c>
      <c r="S29" s="67"/>
      <c r="T29" s="67">
        <v>0</v>
      </c>
      <c r="U29" s="67"/>
      <c r="V29" s="71">
        <v>8</v>
      </c>
      <c r="W29" s="64">
        <v>999.8</v>
      </c>
      <c r="X29" s="121">
        <f t="shared" si="2"/>
        <v>1009.8003906693513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21.021735231055334</v>
      </c>
      <c r="AI29">
        <f t="shared" si="5"/>
        <v>19.24469765091116</v>
      </c>
      <c r="AJ29">
        <f t="shared" si="6"/>
        <v>18.12609765091116</v>
      </c>
      <c r="AK29">
        <f t="shared" si="12"/>
        <v>15.95941965790462</v>
      </c>
      <c r="AU29">
        <f t="shared" si="13"/>
        <v>10.18807412497191</v>
      </c>
    </row>
    <row r="30" spans="1:47" ht="12.75">
      <c r="A30" s="72">
        <v>22</v>
      </c>
      <c r="B30" s="73">
        <v>16.9</v>
      </c>
      <c r="C30" s="74">
        <v>15.4</v>
      </c>
      <c r="D30" s="74">
        <v>18.9</v>
      </c>
      <c r="E30" s="74">
        <v>13.2</v>
      </c>
      <c r="F30" s="75">
        <f t="shared" si="0"/>
        <v>16.049999999999997</v>
      </c>
      <c r="G30" s="67">
        <f t="shared" si="7"/>
        <v>84.6451771536475</v>
      </c>
      <c r="H30" s="76">
        <f t="shared" si="1"/>
        <v>14.29866394582936</v>
      </c>
      <c r="I30" s="77">
        <v>13</v>
      </c>
      <c r="J30" s="75"/>
      <c r="K30" s="77">
        <v>18.3</v>
      </c>
      <c r="L30" s="74">
        <v>17.6</v>
      </c>
      <c r="M30" s="74"/>
      <c r="N30" s="74">
        <v>15.9</v>
      </c>
      <c r="O30" s="75">
        <v>15.2</v>
      </c>
      <c r="P30" s="78" t="s">
        <v>137</v>
      </c>
      <c r="Q30" s="79">
        <v>19</v>
      </c>
      <c r="R30" s="76">
        <v>8</v>
      </c>
      <c r="S30" s="76"/>
      <c r="T30" s="76">
        <v>2</v>
      </c>
      <c r="U30" s="76"/>
      <c r="V30" s="80">
        <v>8</v>
      </c>
      <c r="W30" s="73">
        <v>1003.1</v>
      </c>
      <c r="X30" s="121">
        <f t="shared" si="2"/>
        <v>1013.1821112247886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19.24469765091116</v>
      </c>
      <c r="AI30">
        <f t="shared" si="5"/>
        <v>17.48820841929759</v>
      </c>
      <c r="AJ30">
        <f t="shared" si="6"/>
        <v>16.28970841929759</v>
      </c>
      <c r="AK30">
        <f t="shared" si="12"/>
        <v>14.29866394582936</v>
      </c>
      <c r="AU30">
        <f t="shared" si="13"/>
        <v>10.060462680055537</v>
      </c>
    </row>
    <row r="31" spans="1:47" ht="12.75">
      <c r="A31" s="63">
        <v>23</v>
      </c>
      <c r="B31" s="64">
        <v>15.9</v>
      </c>
      <c r="C31" s="65">
        <v>13.5</v>
      </c>
      <c r="D31" s="65">
        <v>18.8</v>
      </c>
      <c r="E31" s="65">
        <v>9.5</v>
      </c>
      <c r="F31" s="66">
        <f t="shared" si="0"/>
        <v>14.15</v>
      </c>
      <c r="G31" s="67">
        <f t="shared" si="7"/>
        <v>75.03133096141636</v>
      </c>
      <c r="H31" s="67">
        <f t="shared" si="1"/>
        <v>11.484450456049156</v>
      </c>
      <c r="I31" s="68">
        <v>5.7</v>
      </c>
      <c r="J31" s="66"/>
      <c r="K31" s="68">
        <v>16.3</v>
      </c>
      <c r="L31" s="65">
        <v>15.3</v>
      </c>
      <c r="M31" s="65"/>
      <c r="N31" s="65">
        <v>15.7</v>
      </c>
      <c r="O31" s="66">
        <v>15.3</v>
      </c>
      <c r="P31" s="69" t="s">
        <v>107</v>
      </c>
      <c r="Q31" s="70">
        <v>16</v>
      </c>
      <c r="R31" s="67">
        <v>5.9</v>
      </c>
      <c r="S31" s="67"/>
      <c r="T31" s="67" t="s">
        <v>108</v>
      </c>
      <c r="U31" s="67"/>
      <c r="V31" s="71">
        <v>7</v>
      </c>
      <c r="W31" s="64">
        <v>1007.7</v>
      </c>
      <c r="X31" s="121">
        <f t="shared" si="2"/>
        <v>1017.8635918644143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18.057388147749236</v>
      </c>
      <c r="AI31">
        <f t="shared" si="5"/>
        <v>15.4662986641253</v>
      </c>
      <c r="AJ31">
        <f t="shared" si="6"/>
        <v>13.5486986641253</v>
      </c>
      <c r="AK31">
        <f t="shared" si="12"/>
        <v>11.484450456049156</v>
      </c>
      <c r="AU31">
        <f t="shared" si="13"/>
        <v>10.185290980894049</v>
      </c>
    </row>
    <row r="32" spans="1:47" ht="12.75">
      <c r="A32" s="72">
        <v>24</v>
      </c>
      <c r="B32" s="73">
        <v>13.2</v>
      </c>
      <c r="C32" s="74">
        <v>12.4</v>
      </c>
      <c r="D32" s="74">
        <v>16</v>
      </c>
      <c r="E32" s="74">
        <v>9.8</v>
      </c>
      <c r="F32" s="75">
        <f t="shared" si="0"/>
        <v>12.9</v>
      </c>
      <c r="G32" s="67">
        <f t="shared" si="7"/>
        <v>90.67929346913131</v>
      </c>
      <c r="H32" s="76">
        <f t="shared" si="1"/>
        <v>11.710667116501078</v>
      </c>
      <c r="I32" s="77">
        <v>7.4</v>
      </c>
      <c r="J32" s="75"/>
      <c r="K32" s="77">
        <v>14.7</v>
      </c>
      <c r="L32" s="74">
        <v>14.9</v>
      </c>
      <c r="M32" s="74"/>
      <c r="N32" s="74">
        <v>15.5</v>
      </c>
      <c r="O32" s="75">
        <v>15.2</v>
      </c>
      <c r="P32" s="78" t="s">
        <v>138</v>
      </c>
      <c r="Q32" s="79">
        <v>13</v>
      </c>
      <c r="R32" s="76">
        <v>0</v>
      </c>
      <c r="S32" s="76"/>
      <c r="T32" s="76">
        <v>6.2</v>
      </c>
      <c r="U32" s="76"/>
      <c r="V32" s="80">
        <v>8</v>
      </c>
      <c r="W32" s="73">
        <v>1003</v>
      </c>
      <c r="X32" s="121">
        <f t="shared" si="2"/>
        <v>1013.2121401947167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15.166585036022243</v>
      </c>
      <c r="AI32">
        <f t="shared" si="5"/>
        <v>14.392152154059962</v>
      </c>
      <c r="AJ32">
        <f t="shared" si="6"/>
        <v>13.752952154059964</v>
      </c>
      <c r="AK32">
        <f t="shared" si="12"/>
        <v>11.710667116501078</v>
      </c>
      <c r="AU32">
        <f t="shared" si="13"/>
        <v>10.17972935273718</v>
      </c>
    </row>
    <row r="33" spans="1:47" ht="12.75">
      <c r="A33" s="63">
        <v>25</v>
      </c>
      <c r="B33" s="64">
        <v>15.8</v>
      </c>
      <c r="C33" s="65">
        <v>12.3</v>
      </c>
      <c r="D33" s="65">
        <v>20.4</v>
      </c>
      <c r="E33" s="65">
        <v>8.7</v>
      </c>
      <c r="F33" s="66">
        <f t="shared" si="0"/>
        <v>14.549999999999999</v>
      </c>
      <c r="G33" s="67">
        <f t="shared" si="7"/>
        <v>64.1018984050548</v>
      </c>
      <c r="H33" s="67">
        <f t="shared" si="1"/>
        <v>9.034084947003201</v>
      </c>
      <c r="I33" s="68">
        <v>5.1</v>
      </c>
      <c r="J33" s="66"/>
      <c r="K33" s="68">
        <v>15.8</v>
      </c>
      <c r="L33" s="65">
        <v>13.7</v>
      </c>
      <c r="M33" s="65"/>
      <c r="N33" s="65">
        <v>15.1</v>
      </c>
      <c r="O33" s="66">
        <v>15.1</v>
      </c>
      <c r="P33" s="69" t="s">
        <v>134</v>
      </c>
      <c r="Q33" s="70">
        <v>18</v>
      </c>
      <c r="R33" s="67">
        <v>9.1</v>
      </c>
      <c r="S33" s="67"/>
      <c r="T33" s="67" t="s">
        <v>108</v>
      </c>
      <c r="U33" s="67"/>
      <c r="V33" s="71">
        <v>1</v>
      </c>
      <c r="W33" s="64">
        <v>1003.8</v>
      </c>
      <c r="X33" s="121">
        <f t="shared" si="2"/>
        <v>1013.9277811655487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17.942269597987615</v>
      </c>
      <c r="AI33">
        <f t="shared" si="5"/>
        <v>14.297835429263056</v>
      </c>
      <c r="AJ33">
        <f t="shared" si="6"/>
        <v>11.501335429263056</v>
      </c>
      <c r="AK33">
        <f t="shared" si="12"/>
        <v>9.034084947003201</v>
      </c>
      <c r="AU33">
        <f t="shared" si="13"/>
        <v>9.95403504577965</v>
      </c>
    </row>
    <row r="34" spans="1:47" ht="12.75">
      <c r="A34" s="72">
        <v>26</v>
      </c>
      <c r="B34" s="73">
        <v>14.5</v>
      </c>
      <c r="C34" s="74">
        <v>12</v>
      </c>
      <c r="D34" s="74">
        <v>16.5</v>
      </c>
      <c r="E34" s="74">
        <v>7</v>
      </c>
      <c r="F34" s="75">
        <f t="shared" si="0"/>
        <v>11.75</v>
      </c>
      <c r="G34" s="67">
        <f t="shared" si="7"/>
        <v>72.83795387849692</v>
      </c>
      <c r="H34" s="76">
        <f t="shared" si="1"/>
        <v>9.689880170799091</v>
      </c>
      <c r="I34" s="77">
        <v>4</v>
      </c>
      <c r="J34" s="75"/>
      <c r="K34" s="77">
        <v>14.9</v>
      </c>
      <c r="L34" s="74">
        <v>14.4</v>
      </c>
      <c r="M34" s="74"/>
      <c r="N34" s="74">
        <v>14.9</v>
      </c>
      <c r="O34" s="75">
        <v>15</v>
      </c>
      <c r="P34" s="78" t="s">
        <v>111</v>
      </c>
      <c r="Q34" s="79">
        <v>18</v>
      </c>
      <c r="R34" s="76">
        <v>0</v>
      </c>
      <c r="S34" s="76"/>
      <c r="T34" s="76">
        <v>15.3</v>
      </c>
      <c r="U34" s="76"/>
      <c r="V34" s="80">
        <v>8</v>
      </c>
      <c r="W34" s="73">
        <v>994</v>
      </c>
      <c r="X34" s="121">
        <f t="shared" si="2"/>
        <v>1004.0744970262296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16.503260083520495</v>
      </c>
      <c r="AI34">
        <f t="shared" si="5"/>
        <v>14.01813696808305</v>
      </c>
      <c r="AJ34">
        <f t="shared" si="6"/>
        <v>12.02063696808305</v>
      </c>
      <c r="AK34">
        <f t="shared" si="12"/>
        <v>9.689880170799091</v>
      </c>
      <c r="AU34">
        <f t="shared" si="13"/>
        <v>10.124297889091789</v>
      </c>
    </row>
    <row r="35" spans="1:47" ht="12.75">
      <c r="A35" s="63">
        <v>27</v>
      </c>
      <c r="B35" s="64">
        <v>16.5</v>
      </c>
      <c r="C35" s="65">
        <v>14.1</v>
      </c>
      <c r="D35" s="65">
        <v>18.2</v>
      </c>
      <c r="E35" s="65">
        <v>12.5</v>
      </c>
      <c r="F35" s="66">
        <f t="shared" si="0"/>
        <v>15.35</v>
      </c>
      <c r="G35" s="67">
        <f t="shared" si="7"/>
        <v>75.49259491245034</v>
      </c>
      <c r="H35" s="67">
        <f t="shared" si="1"/>
        <v>12.156856911401048</v>
      </c>
      <c r="I35" s="68">
        <v>13.4</v>
      </c>
      <c r="J35" s="66"/>
      <c r="K35" s="68">
        <v>16.3</v>
      </c>
      <c r="L35" s="65">
        <v>15.7</v>
      </c>
      <c r="M35" s="65"/>
      <c r="N35" s="65">
        <v>14.8</v>
      </c>
      <c r="O35" s="66">
        <v>14.9</v>
      </c>
      <c r="P35" s="69" t="s">
        <v>133</v>
      </c>
      <c r="Q35" s="70">
        <v>22</v>
      </c>
      <c r="R35" s="67">
        <v>1.4</v>
      </c>
      <c r="S35" s="67"/>
      <c r="T35" s="67">
        <v>0.1</v>
      </c>
      <c r="U35" s="67"/>
      <c r="V35" s="71">
        <v>4</v>
      </c>
      <c r="W35" s="64">
        <v>987.8</v>
      </c>
      <c r="X35" s="121">
        <f t="shared" si="2"/>
        <v>997.7421229295604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18.76180453991678</v>
      </c>
      <c r="AI35">
        <f t="shared" si="5"/>
        <v>16.081373099585093</v>
      </c>
      <c r="AJ35">
        <f t="shared" si="6"/>
        <v>14.163773099585093</v>
      </c>
      <c r="AK35">
        <f t="shared" si="12"/>
        <v>12.156856911401048</v>
      </c>
      <c r="AU35">
        <f t="shared" si="13"/>
        <v>10.118060706736433</v>
      </c>
    </row>
    <row r="36" spans="1:47" ht="12.75">
      <c r="A36" s="72">
        <v>28</v>
      </c>
      <c r="B36" s="73">
        <v>14.9</v>
      </c>
      <c r="C36" s="74">
        <v>12.7</v>
      </c>
      <c r="D36" s="74">
        <v>17.2</v>
      </c>
      <c r="E36" s="74">
        <v>12.3</v>
      </c>
      <c r="F36" s="75">
        <f t="shared" si="0"/>
        <v>14.75</v>
      </c>
      <c r="G36" s="67">
        <f t="shared" si="7"/>
        <v>76.29594867668487</v>
      </c>
      <c r="H36" s="76">
        <f t="shared" si="1"/>
        <v>10.769500934821906</v>
      </c>
      <c r="I36" s="77">
        <v>10.3</v>
      </c>
      <c r="J36" s="75"/>
      <c r="K36" s="77">
        <v>13.9</v>
      </c>
      <c r="L36" s="74">
        <v>14</v>
      </c>
      <c r="M36" s="74"/>
      <c r="N36" s="74">
        <v>14.9</v>
      </c>
      <c r="O36" s="75">
        <v>14.9</v>
      </c>
      <c r="P36" s="78" t="s">
        <v>107</v>
      </c>
      <c r="Q36" s="79">
        <v>23</v>
      </c>
      <c r="R36" s="76">
        <v>4</v>
      </c>
      <c r="S36" s="76"/>
      <c r="T36" s="76">
        <v>1.5</v>
      </c>
      <c r="U36" s="76"/>
      <c r="V36" s="80">
        <v>7</v>
      </c>
      <c r="W36" s="73">
        <v>992.3</v>
      </c>
      <c r="X36" s="121">
        <f t="shared" si="2"/>
        <v>1002.3432185529638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16.934833208606896</v>
      </c>
      <c r="AI36">
        <f t="shared" si="5"/>
        <v>14.678391653320906</v>
      </c>
      <c r="AJ36">
        <f t="shared" si="6"/>
        <v>12.920591653320905</v>
      </c>
      <c r="AK36">
        <f t="shared" si="12"/>
        <v>10.769500934821906</v>
      </c>
      <c r="AU36">
        <f t="shared" si="13"/>
        <v>9.918924393997841</v>
      </c>
    </row>
    <row r="37" spans="1:47" ht="12.75">
      <c r="A37" s="63">
        <v>29</v>
      </c>
      <c r="B37" s="64">
        <v>15.2</v>
      </c>
      <c r="C37" s="65">
        <v>12.4</v>
      </c>
      <c r="D37" s="65">
        <v>18.7</v>
      </c>
      <c r="E37" s="65">
        <v>7.7</v>
      </c>
      <c r="F37" s="66">
        <f t="shared" si="0"/>
        <v>13.2</v>
      </c>
      <c r="G37" s="67">
        <f t="shared" si="7"/>
        <v>70.40234089557482</v>
      </c>
      <c r="H37" s="67">
        <f t="shared" si="1"/>
        <v>9.85543432581398</v>
      </c>
      <c r="I37" s="68">
        <v>4.1</v>
      </c>
      <c r="J37" s="66"/>
      <c r="K37" s="68">
        <v>15.1</v>
      </c>
      <c r="L37" s="65">
        <v>13.5</v>
      </c>
      <c r="M37" s="65"/>
      <c r="N37" s="65">
        <v>14.7</v>
      </c>
      <c r="O37" s="66">
        <v>14.9</v>
      </c>
      <c r="P37" s="69" t="s">
        <v>149</v>
      </c>
      <c r="Q37" s="70">
        <v>16</v>
      </c>
      <c r="R37" s="67">
        <v>4.5</v>
      </c>
      <c r="S37" s="67"/>
      <c r="T37" s="67" t="s">
        <v>108</v>
      </c>
      <c r="U37" s="67"/>
      <c r="V37" s="71">
        <v>4</v>
      </c>
      <c r="W37" s="64">
        <v>999.9</v>
      </c>
      <c r="X37" s="121">
        <f t="shared" si="2"/>
        <v>1010.0095481958377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17.264982952894922</v>
      </c>
      <c r="AI37">
        <f t="shared" si="5"/>
        <v>14.392152154059962</v>
      </c>
      <c r="AJ37">
        <f t="shared" si="6"/>
        <v>12.154952154059963</v>
      </c>
      <c r="AK37">
        <f t="shared" si="12"/>
        <v>9.85543432581398</v>
      </c>
      <c r="AU37">
        <f t="shared" si="13"/>
        <v>10.000390669351319</v>
      </c>
    </row>
    <row r="38" spans="1:47" ht="12.75">
      <c r="A38" s="72">
        <v>30</v>
      </c>
      <c r="B38" s="73">
        <v>13.6</v>
      </c>
      <c r="C38" s="74">
        <v>10.7</v>
      </c>
      <c r="D38" s="74">
        <v>18.1</v>
      </c>
      <c r="E38" s="74">
        <v>7.7</v>
      </c>
      <c r="F38" s="75">
        <f t="shared" si="0"/>
        <v>12.9</v>
      </c>
      <c r="G38" s="67">
        <f t="shared" si="7"/>
        <v>67.73034238750752</v>
      </c>
      <c r="H38" s="76">
        <f t="shared" si="1"/>
        <v>7.753341863075403</v>
      </c>
      <c r="I38" s="77">
        <v>4.5</v>
      </c>
      <c r="J38" s="75"/>
      <c r="K38" s="77">
        <v>14.3</v>
      </c>
      <c r="L38" s="74">
        <v>13.3</v>
      </c>
      <c r="M38" s="74"/>
      <c r="N38" s="74">
        <v>14.6</v>
      </c>
      <c r="O38" s="75">
        <v>14.7</v>
      </c>
      <c r="P38" s="78" t="s">
        <v>150</v>
      </c>
      <c r="Q38" s="79">
        <v>22</v>
      </c>
      <c r="R38" s="76">
        <v>9</v>
      </c>
      <c r="S38" s="76"/>
      <c r="T38" s="76">
        <v>0</v>
      </c>
      <c r="U38" s="76"/>
      <c r="V38" s="80">
        <v>5</v>
      </c>
      <c r="W38" s="73">
        <v>1008.3</v>
      </c>
      <c r="X38" s="121">
        <f t="shared" si="2"/>
        <v>1018.5516970945885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15.567352846527232</v>
      </c>
      <c r="AI38">
        <f t="shared" si="5"/>
        <v>12.86092138362429</v>
      </c>
      <c r="AJ38">
        <f t="shared" si="6"/>
        <v>10.543821383624291</v>
      </c>
      <c r="AK38">
        <f t="shared" si="12"/>
        <v>7.753341863075403</v>
      </c>
      <c r="AU38">
        <f t="shared" si="13"/>
        <v>10.082111224788585</v>
      </c>
    </row>
    <row r="39" spans="1:47" ht="12.75">
      <c r="A39" s="63">
        <v>31</v>
      </c>
      <c r="B39" s="64">
        <v>14.9</v>
      </c>
      <c r="C39" s="65">
        <v>11</v>
      </c>
      <c r="D39" s="65">
        <v>21.3</v>
      </c>
      <c r="E39" s="65">
        <v>2.5</v>
      </c>
      <c r="F39" s="66">
        <f t="shared" si="0"/>
        <v>11.9</v>
      </c>
      <c r="G39" s="67">
        <f t="shared" si="7"/>
        <v>59.07430172340457</v>
      </c>
      <c r="H39" s="67">
        <f t="shared" si="1"/>
        <v>6.985577110217779</v>
      </c>
      <c r="I39" s="68">
        <v>-0.8</v>
      </c>
      <c r="J39" s="66"/>
      <c r="K39" s="68">
        <v>14.6</v>
      </c>
      <c r="L39" s="65">
        <v>12.3</v>
      </c>
      <c r="M39" s="65"/>
      <c r="N39" s="65">
        <v>14.3</v>
      </c>
      <c r="O39" s="66">
        <v>14.7</v>
      </c>
      <c r="P39" s="69" t="s">
        <v>151</v>
      </c>
      <c r="Q39" s="70">
        <v>13</v>
      </c>
      <c r="R39" s="67">
        <v>9.6</v>
      </c>
      <c r="S39" s="67"/>
      <c r="T39" s="67"/>
      <c r="U39" s="67"/>
      <c r="V39" s="71">
        <v>0</v>
      </c>
      <c r="W39" s="64">
        <v>1009.7</v>
      </c>
      <c r="X39" s="121">
        <f t="shared" si="2"/>
        <v>1019.9193265876526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31</v>
      </c>
      <c r="AD39">
        <f t="shared" si="10"/>
        <v>31</v>
      </c>
      <c r="AE39">
        <f>IF((MAX($T$9:$T$39)=$T39),A39,0)</f>
        <v>0</v>
      </c>
      <c r="AF39">
        <f t="shared" si="4"/>
        <v>0</v>
      </c>
      <c r="AH39">
        <f t="shared" si="11"/>
        <v>16.934833208606896</v>
      </c>
      <c r="AI39">
        <f t="shared" si="5"/>
        <v>13.120234466007751</v>
      </c>
      <c r="AJ39">
        <f t="shared" si="6"/>
        <v>10.004134466007752</v>
      </c>
      <c r="AK39">
        <f t="shared" si="12"/>
        <v>6.985577110217779</v>
      </c>
      <c r="AU39">
        <f t="shared" si="13"/>
        <v>10.163591864414204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10.212140194716646</v>
      </c>
    </row>
    <row r="41" spans="1:47" ht="13.5" thickBot="1">
      <c r="A41" s="113" t="s">
        <v>19</v>
      </c>
      <c r="B41" s="114">
        <f>SUM(B9:B39)</f>
        <v>524.4</v>
      </c>
      <c r="C41" s="115">
        <f aca="true" t="shared" si="14" ref="C41:V41">SUM(C9:C39)</f>
        <v>459.4999999999999</v>
      </c>
      <c r="D41" s="115">
        <f t="shared" si="14"/>
        <v>660.5000000000001</v>
      </c>
      <c r="E41" s="115">
        <f t="shared" si="14"/>
        <v>328.79999999999995</v>
      </c>
      <c r="F41" s="116">
        <f t="shared" si="14"/>
        <v>494.65</v>
      </c>
      <c r="G41" s="117">
        <f t="shared" si="14"/>
        <v>2451.3508172760958</v>
      </c>
      <c r="H41" s="117">
        <f>SUM(H9:H39)</f>
        <v>408.122352843672</v>
      </c>
      <c r="I41" s="118">
        <f t="shared" si="14"/>
        <v>253.89999999999998</v>
      </c>
      <c r="J41" s="116">
        <f t="shared" si="14"/>
        <v>0</v>
      </c>
      <c r="K41" s="118">
        <f t="shared" si="14"/>
        <v>523.3</v>
      </c>
      <c r="L41" s="115">
        <f t="shared" si="14"/>
        <v>490.49999999999994</v>
      </c>
      <c r="M41" s="115">
        <f t="shared" si="14"/>
        <v>0</v>
      </c>
      <c r="N41" s="115">
        <f t="shared" si="14"/>
        <v>481.99999999999994</v>
      </c>
      <c r="O41" s="116">
        <f t="shared" si="14"/>
        <v>465.39999999999986</v>
      </c>
      <c r="P41" s="114"/>
      <c r="Q41" s="119">
        <f t="shared" si="14"/>
        <v>613</v>
      </c>
      <c r="R41" s="117">
        <f t="shared" si="14"/>
        <v>210.79999999999998</v>
      </c>
      <c r="S41" s="117"/>
      <c r="T41" s="117">
        <f>SUM(T9:T39)</f>
        <v>62.1</v>
      </c>
      <c r="U41" s="139"/>
      <c r="V41" s="119">
        <f t="shared" si="14"/>
        <v>167</v>
      </c>
      <c r="W41" s="117">
        <f>SUM(W9:W39)</f>
        <v>31120.799999999996</v>
      </c>
      <c r="X41" s="123">
        <f>SUM(X9:X39)</f>
        <v>31433.60153951489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1</v>
      </c>
      <c r="AC41">
        <f>MAX(AC9:AC39)</f>
        <v>31</v>
      </c>
      <c r="AD41">
        <f>MAX(AD9:AD39)</f>
        <v>31</v>
      </c>
      <c r="AE41">
        <f>MAX(AE9:AE39)</f>
        <v>0</v>
      </c>
      <c r="AF41">
        <f>MAX(AF9:AF39)</f>
        <v>15</v>
      </c>
      <c r="AU41">
        <f t="shared" si="13"/>
        <v>10.127781165548734</v>
      </c>
    </row>
    <row r="42" spans="1:47" ht="12.75">
      <c r="A42" s="72" t="s">
        <v>20</v>
      </c>
      <c r="B42" s="73">
        <f>AVERAGE(B9:B39)</f>
        <v>16.916129032258063</v>
      </c>
      <c r="C42" s="74">
        <f aca="true" t="shared" si="15" ref="C42:V42">AVERAGE(C9:C39)</f>
        <v>14.822580645161286</v>
      </c>
      <c r="D42" s="74">
        <f t="shared" si="15"/>
        <v>21.306451612903228</v>
      </c>
      <c r="E42" s="74">
        <f t="shared" si="15"/>
        <v>10.606451612903225</v>
      </c>
      <c r="F42" s="75">
        <f t="shared" si="15"/>
        <v>15.956451612903225</v>
      </c>
      <c r="G42" s="76">
        <f t="shared" si="15"/>
        <v>79.07583281535793</v>
      </c>
      <c r="H42" s="76">
        <f>AVERAGE(H9:H39)</f>
        <v>13.165237188505548</v>
      </c>
      <c r="I42" s="77">
        <f t="shared" si="15"/>
        <v>8.19032258064516</v>
      </c>
      <c r="J42" s="75" t="e">
        <f t="shared" si="15"/>
        <v>#DIV/0!</v>
      </c>
      <c r="K42" s="77">
        <f t="shared" si="15"/>
        <v>16.88064516129032</v>
      </c>
      <c r="L42" s="74">
        <f t="shared" si="15"/>
        <v>15.822580645161288</v>
      </c>
      <c r="M42" s="74" t="e">
        <f t="shared" si="15"/>
        <v>#DIV/0!</v>
      </c>
      <c r="N42" s="74">
        <f t="shared" si="15"/>
        <v>15.548387096774192</v>
      </c>
      <c r="O42" s="75">
        <f t="shared" si="15"/>
        <v>15.012903225806447</v>
      </c>
      <c r="P42" s="73"/>
      <c r="Q42" s="75">
        <f t="shared" si="15"/>
        <v>19.774193548387096</v>
      </c>
      <c r="R42" s="76">
        <f t="shared" si="15"/>
        <v>6.8</v>
      </c>
      <c r="S42" s="76"/>
      <c r="T42" s="76">
        <f>AVERAGE(T9:T39)</f>
        <v>2.5875</v>
      </c>
      <c r="U42" s="76"/>
      <c r="V42" s="76">
        <f t="shared" si="15"/>
        <v>5.387096774193548</v>
      </c>
      <c r="W42" s="76">
        <f>AVERAGE(W9:W39)</f>
        <v>1003.8967741935483</v>
      </c>
      <c r="X42" s="124">
        <f>AVERAGE(X9:X39)</f>
        <v>1013.9871464359642</v>
      </c>
      <c r="Y42" s="127"/>
      <c r="Z42" s="134"/>
      <c r="AA42" s="130"/>
      <c r="AU42">
        <f t="shared" si="13"/>
        <v>10.074497026229604</v>
      </c>
    </row>
    <row r="43" spans="1:47" ht="12.75">
      <c r="A43" s="72" t="s">
        <v>21</v>
      </c>
      <c r="B43" s="73">
        <f>MAX(B9:B39)</f>
        <v>26.3</v>
      </c>
      <c r="C43" s="74">
        <f aca="true" t="shared" si="16" ref="C43:V43">MAX(C9:C39)</f>
        <v>21.7</v>
      </c>
      <c r="D43" s="74">
        <f t="shared" si="16"/>
        <v>33.1</v>
      </c>
      <c r="E43" s="74">
        <f t="shared" si="16"/>
        <v>16.5</v>
      </c>
      <c r="F43" s="75">
        <f t="shared" si="16"/>
        <v>24.3</v>
      </c>
      <c r="G43" s="76">
        <f t="shared" si="16"/>
        <v>98.86397895355773</v>
      </c>
      <c r="H43" s="76">
        <f>MAX(H9:H39)</f>
        <v>19.22467297105057</v>
      </c>
      <c r="I43" s="77">
        <f t="shared" si="16"/>
        <v>14.7</v>
      </c>
      <c r="J43" s="75">
        <f t="shared" si="16"/>
        <v>0</v>
      </c>
      <c r="K43" s="77">
        <f t="shared" si="16"/>
        <v>21.2</v>
      </c>
      <c r="L43" s="74">
        <f t="shared" si="16"/>
        <v>19.5</v>
      </c>
      <c r="M43" s="74">
        <f t="shared" si="16"/>
        <v>0</v>
      </c>
      <c r="N43" s="74">
        <f t="shared" si="16"/>
        <v>16.4</v>
      </c>
      <c r="O43" s="75">
        <f t="shared" si="16"/>
        <v>15.3</v>
      </c>
      <c r="P43" s="73"/>
      <c r="Q43" s="70">
        <f t="shared" si="16"/>
        <v>26</v>
      </c>
      <c r="R43" s="76">
        <f t="shared" si="16"/>
        <v>12</v>
      </c>
      <c r="S43" s="76"/>
      <c r="T43" s="76">
        <f>MAX(T9:T39)</f>
        <v>15.3</v>
      </c>
      <c r="U43" s="140"/>
      <c r="V43" s="70">
        <f t="shared" si="16"/>
        <v>8</v>
      </c>
      <c r="W43" s="76">
        <f>MAX(W9:W39)</f>
        <v>1016.8</v>
      </c>
      <c r="X43" s="124">
        <f>MAX(X9:X39)</f>
        <v>1026.9739424872757</v>
      </c>
      <c r="Y43" s="127"/>
      <c r="Z43" s="134"/>
      <c r="AA43" s="127"/>
      <c r="AU43">
        <f t="shared" si="13"/>
        <v>9.942122929560462</v>
      </c>
    </row>
    <row r="44" spans="1:47" ht="13.5" thickBot="1">
      <c r="A44" s="81" t="s">
        <v>22</v>
      </c>
      <c r="B44" s="82">
        <f>MIN(B9:B39)</f>
        <v>13.2</v>
      </c>
      <c r="C44" s="83">
        <f aca="true" t="shared" si="17" ref="C44:V44">MIN(C9:C39)</f>
        <v>10.7</v>
      </c>
      <c r="D44" s="83">
        <f t="shared" si="17"/>
        <v>16</v>
      </c>
      <c r="E44" s="83">
        <f t="shared" si="17"/>
        <v>2.5</v>
      </c>
      <c r="F44" s="84">
        <f t="shared" si="17"/>
        <v>11.75</v>
      </c>
      <c r="G44" s="85">
        <f t="shared" si="17"/>
        <v>59.07430172340457</v>
      </c>
      <c r="H44" s="85">
        <f>MIN(H9:H39)</f>
        <v>6.985577110217779</v>
      </c>
      <c r="I44" s="86">
        <f t="shared" si="17"/>
        <v>-0.8</v>
      </c>
      <c r="J44" s="84">
        <f t="shared" si="17"/>
        <v>0</v>
      </c>
      <c r="K44" s="86">
        <f t="shared" si="17"/>
        <v>11.7</v>
      </c>
      <c r="L44" s="83">
        <f t="shared" si="17"/>
        <v>12.3</v>
      </c>
      <c r="M44" s="83">
        <f t="shared" si="17"/>
        <v>0</v>
      </c>
      <c r="N44" s="83">
        <f t="shared" si="17"/>
        <v>14.3</v>
      </c>
      <c r="O44" s="84">
        <f t="shared" si="17"/>
        <v>14.3</v>
      </c>
      <c r="P44" s="82"/>
      <c r="Q44" s="120">
        <f t="shared" si="17"/>
        <v>13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987.8</v>
      </c>
      <c r="X44" s="125">
        <f>MIN(X9:X39)</f>
        <v>997.7421229295604</v>
      </c>
      <c r="Y44" s="128"/>
      <c r="Z44" s="136"/>
      <c r="AA44" s="128"/>
      <c r="AU44">
        <f t="shared" si="13"/>
        <v>10.043218552963804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10.109548195837787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10.251697094588494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10.219326587652478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1</v>
      </c>
    </row>
    <row r="61" spans="2:6" ht="12.75">
      <c r="B61">
        <f>DCOUNTA(T8:T38,1,B59:B60)</f>
        <v>21</v>
      </c>
      <c r="C61">
        <f>DCOUNTA(T8:T38,1,C59:C60)</f>
        <v>19</v>
      </c>
      <c r="D61">
        <f>DCOUNTA(T8:T38,1,D59:D60)</f>
        <v>10</v>
      </c>
      <c r="F61">
        <f>DCOUNTA(T8:T38,1,F59:F60)</f>
        <v>6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15</v>
      </c>
      <c r="C64">
        <f>(C61-F61)</f>
        <v>13</v>
      </c>
      <c r="D64">
        <f>(D61-F61)</f>
        <v>4</v>
      </c>
    </row>
  </sheetData>
  <sheetProtection/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A16">
      <selection activeCell="R30" sqref="R30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158</v>
      </c>
      <c r="I4" s="60" t="s">
        <v>56</v>
      </c>
      <c r="J4" s="60">
        <v>2015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21.306451612903228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10.606451612903225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15.956451612903225</v>
      </c>
      <c r="D9" s="3"/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33.1</v>
      </c>
      <c r="C10" s="5" t="s">
        <v>32</v>
      </c>
      <c r="D10" s="5">
        <f>Data1!$AB$41</f>
        <v>1</v>
      </c>
      <c r="E10" s="3"/>
      <c r="F10" s="40">
        <v>2</v>
      </c>
      <c r="G10" s="93" t="s">
        <v>143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2.5</v>
      </c>
      <c r="C11" s="5" t="s">
        <v>32</v>
      </c>
      <c r="D11" s="24">
        <f>Data1!$AC$41</f>
        <v>31</v>
      </c>
      <c r="E11" s="3"/>
      <c r="F11" s="40">
        <v>3</v>
      </c>
      <c r="G11" s="93" t="s">
        <v>144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-0.8</v>
      </c>
      <c r="C12" s="5" t="s">
        <v>32</v>
      </c>
      <c r="D12" s="24">
        <f>Data1!$AD$41</f>
        <v>31</v>
      </c>
      <c r="E12" s="3"/>
      <c r="F12" s="40">
        <v>4</v>
      </c>
      <c r="G12" s="93" t="s">
        <v>147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15.012903225806447</v>
      </c>
      <c r="C13" s="5"/>
      <c r="D13" s="24"/>
      <c r="E13" s="3"/>
      <c r="F13" s="40">
        <v>5</v>
      </c>
      <c r="G13" s="93" t="s">
        <v>148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123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121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62.1</v>
      </c>
      <c r="D17" s="5"/>
      <c r="E17" s="3"/>
      <c r="F17" s="40">
        <v>9</v>
      </c>
      <c r="G17" s="93" t="s">
        <v>120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119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13</v>
      </c>
      <c r="D19" s="5"/>
      <c r="E19" s="3"/>
      <c r="F19" s="40">
        <v>11</v>
      </c>
      <c r="G19" s="93" t="s">
        <v>118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117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15.3</v>
      </c>
      <c r="D21" s="5"/>
      <c r="E21" s="3"/>
      <c r="F21" s="40">
        <v>13</v>
      </c>
      <c r="G21" s="93" t="s">
        <v>116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v>26</v>
      </c>
      <c r="D22" s="5"/>
      <c r="E22" s="3"/>
      <c r="F22" s="40">
        <v>14</v>
      </c>
      <c r="G22" s="93" t="s">
        <v>115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114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113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12</v>
      </c>
      <c r="D25" s="5" t="s">
        <v>46</v>
      </c>
      <c r="E25" s="5">
        <f>Data1!$AF$41</f>
        <v>15</v>
      </c>
      <c r="F25" s="40">
        <v>17</v>
      </c>
      <c r="G25" s="93" t="s">
        <v>124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210.79999999999998</v>
      </c>
      <c r="D26" s="5" t="s">
        <v>46</v>
      </c>
      <c r="E26" s="3"/>
      <c r="F26" s="40">
        <v>18</v>
      </c>
      <c r="G26" s="93" t="s">
        <v>125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126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127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128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26</v>
      </c>
      <c r="D30" s="5"/>
      <c r="E30" s="5"/>
      <c r="F30" s="40">
        <v>22</v>
      </c>
      <c r="G30" s="93" t="s">
        <v>129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142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141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140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139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154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v>1</v>
      </c>
      <c r="D37" s="5"/>
      <c r="E37" s="3"/>
      <c r="F37" s="40">
        <v>29</v>
      </c>
      <c r="G37" s="93" t="s">
        <v>153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152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159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</v>
      </c>
      <c r="D40" s="5"/>
      <c r="E40" s="3"/>
      <c r="F40" s="5"/>
      <c r="G40" s="35" t="s">
        <v>145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146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156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 t="s">
        <v>157</v>
      </c>
      <c r="H43" s="23"/>
      <c r="I43" s="23"/>
      <c r="J43" s="23"/>
      <c r="K43" s="23"/>
      <c r="L43" s="23"/>
      <c r="M43" s="3"/>
      <c r="N43" s="17"/>
    </row>
    <row r="44" spans="1:14" ht="12.75">
      <c r="A44" s="27" t="s">
        <v>160</v>
      </c>
      <c r="B44" s="3" t="s">
        <v>161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sheetProtection/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2015-08-01T16:55:31Z</dcterms:modified>
  <cp:category/>
  <cp:version/>
  <cp:contentType/>
  <cp:contentStatus/>
</cp:coreProperties>
</file>