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<sst xmlns="http://schemas.openxmlformats.org/spreadsheetml/2006/main" count="185" uniqueCount="142">
  <si>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</si>
  <si>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</si>
  <si>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</si>
  <si>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</si>
  <si>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</si>
  <si>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</si>
  <si>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</si>
  <si>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</si>
  <si>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</si>
  <si>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</si>
  <si>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</si>
  <si>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</si>
  <si>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</si>
  <si>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</si>
  <si>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</si>
  <si>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</si>
  <si>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</si>
  <si>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</si>
  <si>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</si>
  <si>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</si>
  <si>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</si>
  <si>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</si>
  <si>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</si>
  <si>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</si>
  <si>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</si>
  <si>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</si>
  <si>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</si>
  <si>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</si>
  <si>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</si>
  <si>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</si>
  <si>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</si>
  <si>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</si>
  <si>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</si>
  <si>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</si>
  <si>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</si>
  <si>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</si>
  <si>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</si>
  <si>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</si>
  <si>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</si>
  <si>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</si>
  <si>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</si>
  <si>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</si>
  <si>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</si>
  <si>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</si>
  <si>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</si>
  <si>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</si>
  <si>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</si>
  <si>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</si>
  <si>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</si>
  <si>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</si>
  <si>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</si>
  <si>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</si>
  <si>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</si>
  <si>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</si>
  <si>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</si>
  <si>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</si>
  <si>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</si>
  <si>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</si>
  <si>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</si>
  <si>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</si>
  <si>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</si>
  <si>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</si>
  <si>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</si>
  <si>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</si>
  <si>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</si>
  <si>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</si>
  <si>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</si>
  <si>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</si>
  <si>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</si>
  <si>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</si>
  <si>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</si>
  <si>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</si>
  <si>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</si>
  <si>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</si>
  <si>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</si>
  <si>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</si>
  <si>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</si>
  <si>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</si>
  <si>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</si>
  <si>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</si>
  <si>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</si>
  <si>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</si>
  <si>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</si>
  <si>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</si>
  <si>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</si>
  <si>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</si>
  <si>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</si>
  <si>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</si>
  <si>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</si>
  <si>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</si>
  <si>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</si>
  <si>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</si>
  <si>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</si>
  <si>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</si>
  <si>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</si>
  <si>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</si>
  <si>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</si>
  <si>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</si>
  <si>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</si>
  <si>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</si>
  <si>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</si>
  <si>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</si>
  <si>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SW</t>
  </si>
  <si>
    <t>W</t>
  </si>
  <si>
    <t>SE</t>
  </si>
  <si>
    <t>E</t>
  </si>
  <si>
    <t>S</t>
  </si>
  <si>
    <t>Clear and cool start, bright, but rain by evening.</t>
  </si>
  <si>
    <t>Mild with a mixture of sunny intervals and showers.</t>
  </si>
  <si>
    <t>Dry and mild with some sunshine.</t>
  </si>
  <si>
    <t>Early ground frost, then dry and bright. Still mild.</t>
  </si>
  <si>
    <t>Cloudy start, but turning brighter. Very mild.</t>
  </si>
  <si>
    <t>Cloudy but still very mild. Less windy.</t>
  </si>
  <si>
    <t>Rather cloudy and misty to start, then sunny and mild.</t>
  </si>
  <si>
    <t>Slight ground frost, then mostly cloudy and much colder.</t>
  </si>
  <si>
    <t>Another slight ground frost, but becoming cloudy with rain later pm.</t>
  </si>
  <si>
    <t>Cloudy but staying dry. Milder again.</t>
  </si>
  <si>
    <t>Misty and dull, but mild with some outbreaks of rain.</t>
  </si>
  <si>
    <t>Cloudy and still mild, the odd spot of rain. Clear by evening.</t>
  </si>
  <si>
    <t>A bright and chilly morning, with a little rain later. Turning breezy.</t>
  </si>
  <si>
    <t>Becoming very windy and squally with showers.</t>
  </si>
  <si>
    <t>Bright with calmer winds, mostly dry and bright.</t>
  </si>
  <si>
    <t>A mostly bright day with some sun. Cooler than of late.</t>
  </si>
  <si>
    <t>N</t>
  </si>
  <si>
    <t>Cloudy with rain moving in by lunch. Becoming very mild; temps rising overnight.</t>
  </si>
  <si>
    <t>Cloudy and breezy, but very mild. Little in the way of brightness.</t>
  </si>
  <si>
    <t>Similar to yesterday, with lots of cloud but temperatures well above average.</t>
  </si>
  <si>
    <t>Cloudy and less mild, with rain moving in by afternoon.</t>
  </si>
  <si>
    <t>Ground frost to start with, and foogy too. Brightening up, then  foggy again later. Colder.</t>
  </si>
  <si>
    <t>Colder still, rather cloudy with outbreaks of light rain.</t>
  </si>
  <si>
    <t>Misty, frosty start but mainly cloudy. Rather cloudy throughout the day.</t>
  </si>
  <si>
    <t>CALM</t>
  </si>
  <si>
    <t>tr</t>
  </si>
  <si>
    <t>Sharp frost - coldest so far this season - but sunny throughout with little wind.</t>
  </si>
  <si>
    <t>Early sslight ground frost, then becoming cloudier through the day with rain overnight.</t>
  </si>
  <si>
    <t>A rainy start and mild, but brightening up with temperatures dropping by afternoon.</t>
  </si>
  <si>
    <t>Widespread frost to begin the day, then sunny and rather cold.</t>
  </si>
  <si>
    <t>Another frosty start and sunny for most of the day. Cloudier and mild by evening.</t>
  </si>
  <si>
    <t>Cloudy with rain soon moving in, lasting until lunchtime. Blustery and windy.</t>
  </si>
  <si>
    <t>calm</t>
  </si>
  <si>
    <t>A bright start with ground frost. Turning wet by evening.</t>
  </si>
  <si>
    <t>Nov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</si>
</sst>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11.8</c:v>
                </c:pt>
                <c:pt idx="1">
                  <c:v>13</c:v>
                </c:pt>
                <c:pt idx="2">
                  <c:v>12.7</c:v>
                </c:pt>
                <c:pt idx="3">
                  <c:v>13.4</c:v>
                </c:pt>
                <c:pt idx="4">
                  <c:v>14.8</c:v>
                </c:pt>
                <c:pt idx="5">
                  <c:v>13.8</c:v>
                </c:pt>
                <c:pt idx="6">
                  <c:v>12.5</c:v>
                </c:pt>
                <c:pt idx="7">
                  <c:v>7.9</c:v>
                </c:pt>
                <c:pt idx="8">
                  <c:v>9.2</c:v>
                </c:pt>
                <c:pt idx="9">
                  <c:v>11.3</c:v>
                </c:pt>
                <c:pt idx="10">
                  <c:v>11.4</c:v>
                </c:pt>
                <c:pt idx="11">
                  <c:v>12</c:v>
                </c:pt>
                <c:pt idx="12">
                  <c:v>11.7</c:v>
                </c:pt>
                <c:pt idx="13">
                  <c:v>11</c:v>
                </c:pt>
                <c:pt idx="14">
                  <c:v>10.7</c:v>
                </c:pt>
                <c:pt idx="15">
                  <c:v>9.1</c:v>
                </c:pt>
                <c:pt idx="16">
                  <c:v>13.7</c:v>
                </c:pt>
                <c:pt idx="17">
                  <c:v>14.4</c:v>
                </c:pt>
                <c:pt idx="18">
                  <c:v>14.7</c:v>
                </c:pt>
                <c:pt idx="19">
                  <c:v>11.9</c:v>
                </c:pt>
                <c:pt idx="20">
                  <c:v>6.7</c:v>
                </c:pt>
                <c:pt idx="21">
                  <c:v>5.8</c:v>
                </c:pt>
                <c:pt idx="22">
                  <c:v>4.3</c:v>
                </c:pt>
                <c:pt idx="23">
                  <c:v>7.2</c:v>
                </c:pt>
                <c:pt idx="24">
                  <c:v>10.7</c:v>
                </c:pt>
                <c:pt idx="25">
                  <c:v>8.1</c:v>
                </c:pt>
                <c:pt idx="26">
                  <c:v>6.3</c:v>
                </c:pt>
                <c:pt idx="27">
                  <c:v>8.8</c:v>
                </c:pt>
                <c:pt idx="28">
                  <c:v>11.8</c:v>
                </c:pt>
                <c:pt idx="29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4.1</c:v>
                </c:pt>
                <c:pt idx="1">
                  <c:v>5.6</c:v>
                </c:pt>
                <c:pt idx="2">
                  <c:v>7.7</c:v>
                </c:pt>
                <c:pt idx="3">
                  <c:v>3.3</c:v>
                </c:pt>
                <c:pt idx="4">
                  <c:v>5.6</c:v>
                </c:pt>
                <c:pt idx="5">
                  <c:v>8</c:v>
                </c:pt>
                <c:pt idx="6">
                  <c:v>5.7</c:v>
                </c:pt>
                <c:pt idx="7">
                  <c:v>6</c:v>
                </c:pt>
                <c:pt idx="8">
                  <c:v>4.7</c:v>
                </c:pt>
                <c:pt idx="9">
                  <c:v>5.4</c:v>
                </c:pt>
                <c:pt idx="10">
                  <c:v>6.1</c:v>
                </c:pt>
                <c:pt idx="11">
                  <c:v>6.2</c:v>
                </c:pt>
                <c:pt idx="12">
                  <c:v>5.5</c:v>
                </c:pt>
                <c:pt idx="13">
                  <c:v>7</c:v>
                </c:pt>
                <c:pt idx="14">
                  <c:v>6.9</c:v>
                </c:pt>
                <c:pt idx="15">
                  <c:v>2.1</c:v>
                </c:pt>
                <c:pt idx="16">
                  <c:v>2</c:v>
                </c:pt>
                <c:pt idx="17">
                  <c:v>5.9</c:v>
                </c:pt>
                <c:pt idx="18">
                  <c:v>11.3</c:v>
                </c:pt>
                <c:pt idx="19">
                  <c:v>11.1</c:v>
                </c:pt>
                <c:pt idx="20">
                  <c:v>2.1</c:v>
                </c:pt>
                <c:pt idx="21">
                  <c:v>2.2</c:v>
                </c:pt>
                <c:pt idx="22">
                  <c:v>-1.5</c:v>
                </c:pt>
                <c:pt idx="23">
                  <c:v>-4.9</c:v>
                </c:pt>
                <c:pt idx="24">
                  <c:v>1.5</c:v>
                </c:pt>
                <c:pt idx="25">
                  <c:v>7.1</c:v>
                </c:pt>
                <c:pt idx="26">
                  <c:v>-2.1</c:v>
                </c:pt>
                <c:pt idx="27">
                  <c:v>-1.9</c:v>
                </c:pt>
                <c:pt idx="28">
                  <c:v>7.7</c:v>
                </c:pt>
                <c:pt idx="29">
                  <c:v>3.4</c:v>
                </c:pt>
              </c:numCache>
            </c:numRef>
          </c:val>
          <c:smooth val="0"/>
        </c:ser>
        <c:marker val="1"/>
        <c:axId val="33130733"/>
        <c:axId val="21267162"/>
      </c:lineChart>
      <c:catAx>
        <c:axId val="33130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67162"/>
        <c:crosses val="autoZero"/>
        <c:auto val="1"/>
        <c:lblOffset val="100"/>
        <c:noMultiLvlLbl val="0"/>
      </c:catAx>
      <c:valAx>
        <c:axId val="21267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3130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5.6</c:v>
                </c:pt>
                <c:pt idx="1">
                  <c:v>0.9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3.3</c:v>
                </c:pt>
                <c:pt idx="9">
                  <c:v>0</c:v>
                </c:pt>
                <c:pt idx="10">
                  <c:v>2.7</c:v>
                </c:pt>
                <c:pt idx="11">
                  <c:v>0.2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1.8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0.2</c:v>
                </c:pt>
                <c:pt idx="21">
                  <c:v>0.8</c:v>
                </c:pt>
                <c:pt idx="22">
                  <c:v>0</c:v>
                </c:pt>
                <c:pt idx="23">
                  <c:v>0</c:v>
                </c:pt>
                <c:pt idx="24">
                  <c:v>4.5</c:v>
                </c:pt>
                <c:pt idx="25">
                  <c:v>3.8</c:v>
                </c:pt>
                <c:pt idx="26">
                  <c:v>0</c:v>
                </c:pt>
                <c:pt idx="27">
                  <c:v>0.1</c:v>
                </c:pt>
                <c:pt idx="28">
                  <c:v>2.2</c:v>
                </c:pt>
                <c:pt idx="29">
                  <c:v>4.9</c:v>
                </c:pt>
              </c:numCache>
            </c:numRef>
          </c:val>
        </c:ser>
        <c:axId val="12767923"/>
        <c:axId val="34725448"/>
      </c:barChart>
      <c:catAx>
        <c:axId val="12767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25448"/>
        <c:crosses val="autoZero"/>
        <c:auto val="1"/>
        <c:lblOffset val="100"/>
        <c:noMultiLvlLbl val="0"/>
      </c:catAx>
      <c:valAx>
        <c:axId val="34725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2767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405033"/>
        <c:axId val="11745958"/>
      </c:barChart>
      <c:catAx>
        <c:axId val="405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45958"/>
        <c:crosses val="autoZero"/>
        <c:auto val="1"/>
        <c:lblOffset val="100"/>
        <c:noMultiLvlLbl val="0"/>
      </c:catAx>
      <c:valAx>
        <c:axId val="11745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050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0.7</c:v>
                </c:pt>
                <c:pt idx="1">
                  <c:v>2.6</c:v>
                </c:pt>
                <c:pt idx="2">
                  <c:v>5.2</c:v>
                </c:pt>
                <c:pt idx="3">
                  <c:v>-2</c:v>
                </c:pt>
                <c:pt idx="4">
                  <c:v>5.6</c:v>
                </c:pt>
                <c:pt idx="5">
                  <c:v>3.7</c:v>
                </c:pt>
                <c:pt idx="6">
                  <c:v>0</c:v>
                </c:pt>
                <c:pt idx="7">
                  <c:v>-0.1</c:v>
                </c:pt>
                <c:pt idx="8">
                  <c:v>-1.4</c:v>
                </c:pt>
                <c:pt idx="9">
                  <c:v>3.7</c:v>
                </c:pt>
                <c:pt idx="10">
                  <c:v>1.9</c:v>
                </c:pt>
                <c:pt idx="11">
                  <c:v>6.3</c:v>
                </c:pt>
                <c:pt idx="12">
                  <c:v>-0.1</c:v>
                </c:pt>
                <c:pt idx="13">
                  <c:v>4.2</c:v>
                </c:pt>
                <c:pt idx="14">
                  <c:v>4.2</c:v>
                </c:pt>
                <c:pt idx="15">
                  <c:v>-1.7</c:v>
                </c:pt>
                <c:pt idx="16">
                  <c:v>-2.3</c:v>
                </c:pt>
                <c:pt idx="17">
                  <c:v>5.4</c:v>
                </c:pt>
                <c:pt idx="18">
                  <c:v>9</c:v>
                </c:pt>
                <c:pt idx="19">
                  <c:v>9.9</c:v>
                </c:pt>
                <c:pt idx="20">
                  <c:v>-1.8</c:v>
                </c:pt>
                <c:pt idx="21">
                  <c:v>2</c:v>
                </c:pt>
                <c:pt idx="22">
                  <c:v>-3.5</c:v>
                </c:pt>
                <c:pt idx="23">
                  <c:v>-7</c:v>
                </c:pt>
                <c:pt idx="24">
                  <c:v>-2.9</c:v>
                </c:pt>
                <c:pt idx="25">
                  <c:v>4.7</c:v>
                </c:pt>
                <c:pt idx="26">
                  <c:v>-5.3</c:v>
                </c:pt>
                <c:pt idx="27">
                  <c:v>-5</c:v>
                </c:pt>
                <c:pt idx="28">
                  <c:v>7</c:v>
                </c:pt>
                <c:pt idx="29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088463"/>
        <c:axId val="13347700"/>
      </c:lineChart>
      <c:catAx>
        <c:axId val="5088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47700"/>
        <c:crosses val="autoZero"/>
        <c:auto val="1"/>
        <c:lblOffset val="100"/>
        <c:noMultiLvlLbl val="0"/>
      </c:catAx>
      <c:valAx>
        <c:axId val="13347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0884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5.1</c:v>
                </c:pt>
                <c:pt idx="1">
                  <c:v>10.3</c:v>
                </c:pt>
                <c:pt idx="2">
                  <c:v>8.2</c:v>
                </c:pt>
                <c:pt idx="3">
                  <c:v>5.9</c:v>
                </c:pt>
                <c:pt idx="4">
                  <c:v>10.7</c:v>
                </c:pt>
                <c:pt idx="5">
                  <c:v>9.7</c:v>
                </c:pt>
                <c:pt idx="6">
                  <c:v>7.9</c:v>
                </c:pt>
                <c:pt idx="7">
                  <c:v>7.5</c:v>
                </c:pt>
                <c:pt idx="8">
                  <c:v>5.8</c:v>
                </c:pt>
                <c:pt idx="9">
                  <c:v>8.9</c:v>
                </c:pt>
                <c:pt idx="10">
                  <c:v>8</c:v>
                </c:pt>
                <c:pt idx="11">
                  <c:v>10.3</c:v>
                </c:pt>
                <c:pt idx="12">
                  <c:v>6.2</c:v>
                </c:pt>
                <c:pt idx="13">
                  <c:v>8.1</c:v>
                </c:pt>
                <c:pt idx="14">
                  <c:v>8</c:v>
                </c:pt>
                <c:pt idx="15">
                  <c:v>5.5</c:v>
                </c:pt>
                <c:pt idx="16">
                  <c:v>6</c:v>
                </c:pt>
                <c:pt idx="17">
                  <c:v>11.2</c:v>
                </c:pt>
                <c:pt idx="18">
                  <c:v>10.5</c:v>
                </c:pt>
                <c:pt idx="19">
                  <c:v>10.6</c:v>
                </c:pt>
                <c:pt idx="20">
                  <c:v>6.4</c:v>
                </c:pt>
                <c:pt idx="21">
                  <c:v>6.6</c:v>
                </c:pt>
                <c:pt idx="22">
                  <c:v>4.8</c:v>
                </c:pt>
                <c:pt idx="23">
                  <c:v>1.2</c:v>
                </c:pt>
                <c:pt idx="24">
                  <c:v>5.8</c:v>
                </c:pt>
                <c:pt idx="25">
                  <c:v>6</c:v>
                </c:pt>
                <c:pt idx="26">
                  <c:v>1.5</c:v>
                </c:pt>
                <c:pt idx="27">
                  <c:v>1.6</c:v>
                </c:pt>
                <c:pt idx="28">
                  <c:v>6.2</c:v>
                </c:pt>
                <c:pt idx="29">
                  <c:v>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5.7</c:v>
                </c:pt>
                <c:pt idx="1">
                  <c:v>9.6</c:v>
                </c:pt>
                <c:pt idx="2">
                  <c:v>8</c:v>
                </c:pt>
                <c:pt idx="3">
                  <c:v>6</c:v>
                </c:pt>
                <c:pt idx="4">
                  <c:v>10.1</c:v>
                </c:pt>
                <c:pt idx="5">
                  <c:v>9</c:v>
                </c:pt>
                <c:pt idx="6">
                  <c:v>8.1</c:v>
                </c:pt>
                <c:pt idx="7">
                  <c:v>7.8</c:v>
                </c:pt>
                <c:pt idx="8">
                  <c:v>6.3</c:v>
                </c:pt>
                <c:pt idx="9">
                  <c:v>8.7</c:v>
                </c:pt>
                <c:pt idx="10">
                  <c:v>8.1</c:v>
                </c:pt>
                <c:pt idx="11">
                  <c:v>10</c:v>
                </c:pt>
                <c:pt idx="12">
                  <c:v>6.9</c:v>
                </c:pt>
                <c:pt idx="13">
                  <c:v>8.4</c:v>
                </c:pt>
                <c:pt idx="14">
                  <c:v>8</c:v>
                </c:pt>
                <c:pt idx="15">
                  <c:v>6</c:v>
                </c:pt>
                <c:pt idx="16">
                  <c:v>6.1</c:v>
                </c:pt>
                <c:pt idx="17">
                  <c:v>10.6</c:v>
                </c:pt>
                <c:pt idx="18">
                  <c:v>10.1</c:v>
                </c:pt>
                <c:pt idx="19">
                  <c:v>10.3</c:v>
                </c:pt>
                <c:pt idx="20">
                  <c:v>6.8</c:v>
                </c:pt>
                <c:pt idx="21">
                  <c:v>6.8</c:v>
                </c:pt>
                <c:pt idx="22">
                  <c:v>5.1</c:v>
                </c:pt>
                <c:pt idx="23">
                  <c:v>2.8</c:v>
                </c:pt>
                <c:pt idx="24">
                  <c:v>5.7</c:v>
                </c:pt>
                <c:pt idx="25">
                  <c:v>7.9</c:v>
                </c:pt>
                <c:pt idx="26">
                  <c:v>2.9</c:v>
                </c:pt>
                <c:pt idx="27">
                  <c:v>2.8</c:v>
                </c:pt>
                <c:pt idx="28">
                  <c:v>7</c:v>
                </c:pt>
                <c:pt idx="29">
                  <c:v>5.2</c:v>
                </c:pt>
              </c:numCache>
            </c:numRef>
          </c:val>
          <c:smooth val="0"/>
        </c:ser>
        <c:marker val="1"/>
        <c:axId val="51538981"/>
        <c:axId val="18235442"/>
      </c:lineChart>
      <c:catAx>
        <c:axId val="51538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35442"/>
        <c:crosses val="autoZero"/>
        <c:auto val="1"/>
        <c:lblOffset val="100"/>
        <c:noMultiLvlLbl val="0"/>
      </c:catAx>
      <c:valAx>
        <c:axId val="1823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1538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6.5</c:v>
                </c:pt>
                <c:pt idx="1">
                  <c:v>8.9</c:v>
                </c:pt>
                <c:pt idx="2">
                  <c:v>8.1</c:v>
                </c:pt>
                <c:pt idx="3">
                  <c:v>6.7</c:v>
                </c:pt>
                <c:pt idx="4">
                  <c:v>9.9</c:v>
                </c:pt>
                <c:pt idx="5">
                  <c:v>9.1</c:v>
                </c:pt>
                <c:pt idx="6">
                  <c:v>8.7</c:v>
                </c:pt>
                <c:pt idx="7">
                  <c:v>8.2</c:v>
                </c:pt>
                <c:pt idx="8">
                  <c:v>7.3</c:v>
                </c:pt>
                <c:pt idx="9">
                  <c:v>8.8</c:v>
                </c:pt>
                <c:pt idx="10">
                  <c:v>8.6</c:v>
                </c:pt>
                <c:pt idx="11">
                  <c:v>9.9</c:v>
                </c:pt>
                <c:pt idx="12">
                  <c:v>7.9</c:v>
                </c:pt>
                <c:pt idx="13">
                  <c:v>8.9</c:v>
                </c:pt>
                <c:pt idx="14">
                  <c:v>8.4</c:v>
                </c:pt>
                <c:pt idx="15">
                  <c:v>6.6</c:v>
                </c:pt>
                <c:pt idx="16">
                  <c:v>6.6</c:v>
                </c:pt>
                <c:pt idx="17">
                  <c:v>10</c:v>
                </c:pt>
                <c:pt idx="18">
                  <c:v>10</c:v>
                </c:pt>
                <c:pt idx="19">
                  <c:v>10.3</c:v>
                </c:pt>
                <c:pt idx="20">
                  <c:v>8</c:v>
                </c:pt>
                <c:pt idx="21">
                  <c:v>6.5</c:v>
                </c:pt>
                <c:pt idx="22">
                  <c:v>5.1</c:v>
                </c:pt>
                <c:pt idx="23">
                  <c:v>4.6</c:v>
                </c:pt>
                <c:pt idx="24">
                  <c:v>5.8</c:v>
                </c:pt>
                <c:pt idx="25">
                  <c:v>8</c:v>
                </c:pt>
                <c:pt idx="26">
                  <c:v>4.3</c:v>
                </c:pt>
                <c:pt idx="27">
                  <c:v>3.9</c:v>
                </c:pt>
                <c:pt idx="28">
                  <c:v>6.9</c:v>
                </c:pt>
                <c:pt idx="29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59065771"/>
        <c:axId val="35185760"/>
      </c:lineChart>
      <c:catAx>
        <c:axId val="59065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85760"/>
        <c:crosses val="autoZero"/>
        <c:auto val="1"/>
        <c:lblOffset val="100"/>
        <c:noMultiLvlLbl val="0"/>
      </c:catAx>
      <c:valAx>
        <c:axId val="35185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90657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998.3241762996981</c:v>
                </c:pt>
                <c:pt idx="1">
                  <c:v>989.0489758917436</c:v>
                </c:pt>
                <c:pt idx="2">
                  <c:v>996.6764167525092</c:v>
                </c:pt>
                <c:pt idx="3">
                  <c:v>1022.5864165725244</c:v>
                </c:pt>
                <c:pt idx="4">
                  <c:v>1023.3539666220312</c:v>
                </c:pt>
                <c:pt idx="5">
                  <c:v>1023.9363673506675</c:v>
                </c:pt>
                <c:pt idx="6">
                  <c:v>1028.1209507302497</c:v>
                </c:pt>
                <c:pt idx="7">
                  <c:v>1023.5096321532108</c:v>
                </c:pt>
                <c:pt idx="8">
                  <c:v>1020.5731271832276</c:v>
                </c:pt>
                <c:pt idx="9">
                  <c:v>1020.9425768031739</c:v>
                </c:pt>
                <c:pt idx="10">
                  <c:v>1021.545505910702</c:v>
                </c:pt>
                <c:pt idx="11">
                  <c:v>1013.8114125204391</c:v>
                </c:pt>
                <c:pt idx="12">
                  <c:v>1021.5227833960679</c:v>
                </c:pt>
                <c:pt idx="13">
                  <c:v>1007.2920577370039</c:v>
                </c:pt>
                <c:pt idx="14">
                  <c:v>1011.8569558836226</c:v>
                </c:pt>
                <c:pt idx="15">
                  <c:v>1018.0775203541305</c:v>
                </c:pt>
                <c:pt idx="16">
                  <c:v>1018.0279429371922</c:v>
                </c:pt>
                <c:pt idx="17">
                  <c:v>1018.7753583714948</c:v>
                </c:pt>
                <c:pt idx="18">
                  <c:v>1017.285385587574</c:v>
                </c:pt>
                <c:pt idx="19">
                  <c:v>1011.7726515497392</c:v>
                </c:pt>
                <c:pt idx="20">
                  <c:v>1010.590853969775</c:v>
                </c:pt>
                <c:pt idx="21">
                  <c:v>1005.4766461336085</c:v>
                </c:pt>
                <c:pt idx="22">
                  <c:v>1008.1187004272821</c:v>
                </c:pt>
                <c:pt idx="23">
                  <c:v>1011.8715860181165</c:v>
                </c:pt>
                <c:pt idx="24">
                  <c:v>1005.3562507211549</c:v>
                </c:pt>
                <c:pt idx="25">
                  <c:v>987.1361407835014</c:v>
                </c:pt>
                <c:pt idx="26">
                  <c:v>1002.669883432056</c:v>
                </c:pt>
                <c:pt idx="27">
                  <c:v>1010.6924412375948</c:v>
                </c:pt>
                <c:pt idx="28">
                  <c:v>1003.2910855097105</c:v>
                </c:pt>
                <c:pt idx="29">
                  <c:v>1003.8891403981983</c:v>
                </c:pt>
              </c:numCache>
            </c:numRef>
          </c:val>
        </c:ser>
        <c:axId val="13754081"/>
        <c:axId val="63324030"/>
      </c:barChart>
      <c:catAx>
        <c:axId val="13754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24030"/>
        <c:crosses val="autoZero"/>
        <c:auto val="1"/>
        <c:lblOffset val="100"/>
        <c:noMultiLvlLbl val="0"/>
      </c:catAx>
      <c:valAx>
        <c:axId val="63324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3754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4.265500297823619</c:v>
                </c:pt>
                <c:pt idx="1">
                  <c:v>9.102046019550396</c:v>
                </c:pt>
                <c:pt idx="2">
                  <c:v>6.271301596450963</c:v>
                </c:pt>
                <c:pt idx="3">
                  <c:v>6.048194759738494</c:v>
                </c:pt>
                <c:pt idx="4">
                  <c:v>9.961058611492213</c:v>
                </c:pt>
                <c:pt idx="5">
                  <c:v>8.784825355207667</c:v>
                </c:pt>
                <c:pt idx="6">
                  <c:v>5.751067812508444</c:v>
                </c:pt>
                <c:pt idx="7">
                  <c:v>3.4654100526313445</c:v>
                </c:pt>
                <c:pt idx="8">
                  <c:v>3.981874969773723</c:v>
                </c:pt>
                <c:pt idx="9">
                  <c:v>8.382132121800174</c:v>
                </c:pt>
                <c:pt idx="10">
                  <c:v>5.954111626414727</c:v>
                </c:pt>
                <c:pt idx="11">
                  <c:v>10.011150690365948</c:v>
                </c:pt>
                <c:pt idx="12">
                  <c:v>6.340994680137894</c:v>
                </c:pt>
                <c:pt idx="13">
                  <c:v>6.5125190995854</c:v>
                </c:pt>
                <c:pt idx="14">
                  <c:v>5.729737263111905</c:v>
                </c:pt>
                <c:pt idx="15">
                  <c:v>3.1390515288939813</c:v>
                </c:pt>
                <c:pt idx="16">
                  <c:v>4.7463171159478215</c:v>
                </c:pt>
                <c:pt idx="17">
                  <c:v>11.502461188182753</c:v>
                </c:pt>
                <c:pt idx="18">
                  <c:v>9.970263898755324</c:v>
                </c:pt>
                <c:pt idx="19">
                  <c:v>8.895836445384152</c:v>
                </c:pt>
                <c:pt idx="20">
                  <c:v>1.1450394216103195</c:v>
                </c:pt>
                <c:pt idx="21">
                  <c:v>3.0616635746502765</c:v>
                </c:pt>
                <c:pt idx="22">
                  <c:v>-0.3177016545058733</c:v>
                </c:pt>
                <c:pt idx="23">
                  <c:v>-4.9224611875599615</c:v>
                </c:pt>
                <c:pt idx="24">
                  <c:v>5.428209837489287</c:v>
                </c:pt>
                <c:pt idx="25">
                  <c:v>7.042609935695885</c:v>
                </c:pt>
                <c:pt idx="26">
                  <c:v>-3.1776652622077997</c:v>
                </c:pt>
                <c:pt idx="27">
                  <c:v>-0.9407844571972753</c:v>
                </c:pt>
                <c:pt idx="28">
                  <c:v>6.239287125431302</c:v>
                </c:pt>
                <c:pt idx="29">
                  <c:v>5.010954321654451</c:v>
                </c:pt>
              </c:numCache>
            </c:numRef>
          </c:val>
          <c:smooth val="0"/>
        </c:ser>
        <c:marker val="1"/>
        <c:axId val="24457543"/>
        <c:axId val="38180108"/>
      </c:lineChart>
      <c:catAx>
        <c:axId val="2445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80108"/>
        <c:crosses val="autoZero"/>
        <c:auto val="1"/>
        <c:lblOffset val="100"/>
        <c:noMultiLvlLbl val="0"/>
      </c:catAx>
      <c:valAx>
        <c:axId val="38180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44575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215d822-5fbf-44dd-8a08-b33b52602a6e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158c198-a026-4d65-8ce5-ff5d463f1239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2af6868-9e18-474f-9e9f-b2a40c165e8f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0.51125</cdr:y>
    </cdr:from>
    <cdr:to>
      <cdr:x>0.5205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2c45f76-77ce-45d6-b484-e4081c00dd3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0.02525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a07a776-9c6b-457f-b96c-a8ffee250580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0.0235</cdr:y>
    </cdr:from>
    <cdr:to>
      <cdr:x>0.93375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3c217d3-78c6-4798-b546-9737299288df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6f94bd6-2da5-4ff5-bd56-db5ce58084bd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0.06275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d173069-fcd9-4ab4-9dd2-94f2c3b30ebc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0.03675</cdr:y>
    </cdr:from>
    <cdr:to>
      <cdr:x>0.9335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01425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4876f43-cfee-4688-89d0-5a112fe3daac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5" activePane="bottomLeft" state="split"/>
      <selection pane="topLeft" activeCell="Q4" sqref="Q4"/>
      <selection pane="bottomLeft" activeCell="G21" sqref="G2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141</v>
      </c>
      <c r="R4" s="60">
        <v>2003</v>
      </c>
      <c r="S4" s="7"/>
      <c r="T4" s="7"/>
      <c r="U4" s="60"/>
      <c r="V4" s="18"/>
      <c r="W4" s="102"/>
      <c r="X4" s="99"/>
      <c r="Y4" s="147" t="s">
        <v>96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89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104" t="s">
        <v>65</v>
      </c>
      <c r="X6" s="145" t="s">
        <v>29</v>
      </c>
      <c r="Y6" s="148"/>
      <c r="Z6" s="13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5" t="s">
        <v>67</v>
      </c>
      <c r="X7" s="145"/>
      <c r="Y7" s="148"/>
      <c r="Z7" s="132"/>
    </row>
    <row r="8" spans="1:41" ht="40.5" thickBot="1">
      <c r="A8" s="33"/>
      <c r="B8" s="29" t="s">
        <v>16</v>
      </c>
      <c r="C8" s="8" t="s">
        <v>17</v>
      </c>
      <c r="D8" s="8" t="s">
        <v>14</v>
      </c>
      <c r="E8" s="8" t="s">
        <v>15</v>
      </c>
      <c r="F8" s="10" t="s">
        <v>61</v>
      </c>
      <c r="G8" s="33" t="s">
        <v>39</v>
      </c>
      <c r="H8" s="33" t="s">
        <v>85</v>
      </c>
      <c r="I8" s="56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29" t="s">
        <v>90</v>
      </c>
      <c r="Q8" s="10" t="s">
        <v>97</v>
      </c>
      <c r="R8" s="10" t="s">
        <v>12</v>
      </c>
      <c r="S8" s="33" t="s">
        <v>20</v>
      </c>
      <c r="T8" s="33" t="s">
        <v>99</v>
      </c>
      <c r="U8" s="33" t="s">
        <v>21</v>
      </c>
      <c r="V8" s="33" t="s">
        <v>68</v>
      </c>
      <c r="W8" s="106" t="s">
        <v>68</v>
      </c>
      <c r="X8" s="146"/>
      <c r="Y8" s="149"/>
      <c r="Z8" s="132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63">
        <v>1</v>
      </c>
      <c r="B9" s="64">
        <v>5.9</v>
      </c>
      <c r="C9" s="65">
        <v>5.2</v>
      </c>
      <c r="D9" s="65">
        <v>11.8</v>
      </c>
      <c r="E9" s="65">
        <v>4.1</v>
      </c>
      <c r="F9" s="66">
        <f aca="true" t="shared" si="0" ref="F9:F38">AVERAGE(D9:E9)</f>
        <v>7.95</v>
      </c>
      <c r="G9" s="67">
        <f>100*(AI9/AG9)</f>
        <v>89.22911249347293</v>
      </c>
      <c r="H9" s="67">
        <f aca="true" t="shared" si="1" ref="H9:H38">AJ9</f>
        <v>4.265500297823619</v>
      </c>
      <c r="I9" s="68">
        <v>0.7</v>
      </c>
      <c r="J9" s="66"/>
      <c r="K9" s="68">
        <v>5.1</v>
      </c>
      <c r="L9" s="65">
        <v>5.7</v>
      </c>
      <c r="M9" s="65">
        <v>6.5</v>
      </c>
      <c r="N9" s="65"/>
      <c r="O9" s="66"/>
      <c r="P9" s="69" t="s">
        <v>102</v>
      </c>
      <c r="Q9" s="70">
        <v>31</v>
      </c>
      <c r="R9" s="67"/>
      <c r="S9" s="67">
        <v>5.6</v>
      </c>
      <c r="T9" s="67">
        <v>3.6</v>
      </c>
      <c r="U9" s="71"/>
      <c r="V9" s="64">
        <v>988</v>
      </c>
      <c r="W9" s="121">
        <f aca="true" t="shared" si="2" ref="W9:W38">V9+AT17</f>
        <v>998.3241762996981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1</v>
      </c>
      <c r="AE9">
        <f aca="true" t="shared" si="4" ref="AE9:AE39">IF((MAX($R$9:$R$39)=$R9),A9,0)</f>
        <v>1</v>
      </c>
      <c r="AG9">
        <f>6.107*EXP(17.38*(B9/(239+B9)))</f>
        <v>9.282633897234025</v>
      </c>
      <c r="AH9">
        <f aca="true" t="shared" si="5" ref="AH9:AH39">IF(V9&gt;=0,6.107*EXP(17.38*(C9/(239+C9))),6.107*EXP(22.44*(C9/(272.4+C9))))</f>
        <v>8.842111842520199</v>
      </c>
      <c r="AI9">
        <f aca="true" t="shared" si="6" ref="AI9:AI39">IF(C9&gt;=0,AH9-(0.000799*1000*(B9-C9)),AH9-(0.00072*1000*(B9-C9)))</f>
        <v>8.282811842520198</v>
      </c>
      <c r="AJ9">
        <f>239*LN(AI9/6.107)/(17.38-LN(AI9/6.107))</f>
        <v>4.265500297823619</v>
      </c>
      <c r="AL9">
        <f>COUNTIF(U9:U39,"&lt;1")</f>
        <v>0</v>
      </c>
      <c r="AM9">
        <f>COUNTIF(E9:E39,"&lt;0")</f>
        <v>4</v>
      </c>
      <c r="AN9">
        <f>COUNTIF(I9:I39,"&lt;0")</f>
        <v>13</v>
      </c>
      <c r="AO9">
        <f>COUNTIF(Q9:Q39,"&gt;=39")</f>
        <v>1</v>
      </c>
    </row>
    <row r="10" spans="1:36" ht="12.75">
      <c r="A10" s="72">
        <v>2</v>
      </c>
      <c r="B10" s="73">
        <v>10.9</v>
      </c>
      <c r="C10" s="74">
        <v>10</v>
      </c>
      <c r="D10" s="74">
        <v>13</v>
      </c>
      <c r="E10" s="74">
        <v>5.6</v>
      </c>
      <c r="F10" s="75">
        <f t="shared" si="0"/>
        <v>9.3</v>
      </c>
      <c r="G10" s="67">
        <f aca="true" t="shared" si="7" ref="G10:G38">100*(AI10/AG10)</f>
        <v>88.65157968272078</v>
      </c>
      <c r="H10" s="76">
        <f t="shared" si="1"/>
        <v>9.102046019550396</v>
      </c>
      <c r="I10" s="77">
        <v>2.6</v>
      </c>
      <c r="J10" s="75"/>
      <c r="K10" s="77">
        <v>10.3</v>
      </c>
      <c r="L10" s="74">
        <v>9.6</v>
      </c>
      <c r="M10" s="74">
        <v>8.9</v>
      </c>
      <c r="N10" s="74"/>
      <c r="O10" s="75"/>
      <c r="P10" s="78" t="s">
        <v>102</v>
      </c>
      <c r="Q10" s="79">
        <v>26</v>
      </c>
      <c r="R10" s="76"/>
      <c r="S10" s="76">
        <v>0.9</v>
      </c>
      <c r="T10" s="76">
        <v>0.7</v>
      </c>
      <c r="U10" s="80"/>
      <c r="V10" s="73">
        <v>979</v>
      </c>
      <c r="W10" s="121">
        <f t="shared" si="2"/>
        <v>989.0489758917436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13.033290380870474</v>
      </c>
      <c r="AH10">
        <f t="shared" si="5"/>
        <v>12.273317807277772</v>
      </c>
      <c r="AI10">
        <f t="shared" si="6"/>
        <v>11.554217807277771</v>
      </c>
      <c r="AJ10">
        <f aca="true" t="shared" si="12" ref="AJ10:AJ39">239*LN(AI10/6.107)/(17.38-LN(AI10/6.107))</f>
        <v>9.102046019550396</v>
      </c>
    </row>
    <row r="11" spans="1:36" ht="12.75">
      <c r="A11" s="63">
        <v>3</v>
      </c>
      <c r="B11" s="64">
        <v>9.5</v>
      </c>
      <c r="C11" s="65">
        <v>8</v>
      </c>
      <c r="D11" s="65">
        <v>12.7</v>
      </c>
      <c r="E11" s="65">
        <v>7.7</v>
      </c>
      <c r="F11" s="66">
        <f t="shared" si="0"/>
        <v>10.2</v>
      </c>
      <c r="G11" s="67">
        <f t="shared" si="7"/>
        <v>80.24865405463586</v>
      </c>
      <c r="H11" s="67">
        <f t="shared" si="1"/>
        <v>6.271301596450963</v>
      </c>
      <c r="I11" s="68">
        <v>5.2</v>
      </c>
      <c r="J11" s="66"/>
      <c r="K11" s="68">
        <v>8.2</v>
      </c>
      <c r="L11" s="65">
        <v>8</v>
      </c>
      <c r="M11" s="65">
        <v>8.1</v>
      </c>
      <c r="N11" s="65"/>
      <c r="O11" s="66"/>
      <c r="P11" s="69" t="s">
        <v>103</v>
      </c>
      <c r="Q11" s="70">
        <v>26</v>
      </c>
      <c r="R11" s="67"/>
      <c r="S11" s="67">
        <v>0</v>
      </c>
      <c r="T11" s="67">
        <v>0</v>
      </c>
      <c r="U11" s="71"/>
      <c r="V11" s="64">
        <v>986.5</v>
      </c>
      <c r="W11" s="121">
        <f t="shared" si="2"/>
        <v>996.6764167525092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11.868195956166188</v>
      </c>
      <c r="AH11">
        <f t="shared" si="5"/>
        <v>10.722567515390086</v>
      </c>
      <c r="AI11">
        <f t="shared" si="6"/>
        <v>9.524067515390087</v>
      </c>
      <c r="AJ11">
        <f t="shared" si="12"/>
        <v>6.271301596450963</v>
      </c>
    </row>
    <row r="12" spans="1:36" ht="12.75">
      <c r="A12" s="72">
        <v>4</v>
      </c>
      <c r="B12" s="73">
        <v>5.6</v>
      </c>
      <c r="C12" s="74">
        <v>5.8</v>
      </c>
      <c r="D12" s="74">
        <v>13.4</v>
      </c>
      <c r="E12" s="74">
        <v>3.3</v>
      </c>
      <c r="F12" s="75">
        <f t="shared" si="0"/>
        <v>8.35</v>
      </c>
      <c r="G12" s="67">
        <f t="shared" si="7"/>
        <v>103.15477664034125</v>
      </c>
      <c r="H12" s="76">
        <f t="shared" si="1"/>
        <v>6.048194759738494</v>
      </c>
      <c r="I12" s="77">
        <v>-2</v>
      </c>
      <c r="J12" s="75"/>
      <c r="K12" s="77">
        <v>5.9</v>
      </c>
      <c r="L12" s="74">
        <v>6</v>
      </c>
      <c r="M12" s="74">
        <v>6.7</v>
      </c>
      <c r="N12" s="74"/>
      <c r="O12" s="75"/>
      <c r="P12" s="78" t="s">
        <v>102</v>
      </c>
      <c r="Q12" s="79">
        <v>20</v>
      </c>
      <c r="R12" s="76"/>
      <c r="S12" s="76" t="s">
        <v>132</v>
      </c>
      <c r="T12" s="76">
        <v>0</v>
      </c>
      <c r="U12" s="80"/>
      <c r="V12" s="73">
        <v>1012</v>
      </c>
      <c r="W12" s="121">
        <f t="shared" si="2"/>
        <v>1022.5864165725244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9.091522999287918</v>
      </c>
      <c r="AH12">
        <f t="shared" si="5"/>
        <v>9.218540243120705</v>
      </c>
      <c r="AI12">
        <f t="shared" si="6"/>
        <v>9.378340243120705</v>
      </c>
      <c r="AJ12">
        <f t="shared" si="12"/>
        <v>6.048194759738494</v>
      </c>
    </row>
    <row r="13" spans="1:36" ht="12.75">
      <c r="A13" s="63">
        <v>5</v>
      </c>
      <c r="B13" s="64">
        <v>12.1</v>
      </c>
      <c r="C13" s="65">
        <v>11</v>
      </c>
      <c r="D13" s="65">
        <v>14.8</v>
      </c>
      <c r="E13" s="65">
        <v>5.6</v>
      </c>
      <c r="F13" s="66">
        <f t="shared" si="0"/>
        <v>10.2</v>
      </c>
      <c r="G13" s="67">
        <f t="shared" si="7"/>
        <v>86.75133940667624</v>
      </c>
      <c r="H13" s="67">
        <f t="shared" si="1"/>
        <v>9.961058611492213</v>
      </c>
      <c r="I13" s="68">
        <v>5.6</v>
      </c>
      <c r="J13" s="66"/>
      <c r="K13" s="68">
        <v>10.7</v>
      </c>
      <c r="L13" s="65">
        <v>10.1</v>
      </c>
      <c r="M13" s="65">
        <v>9.9</v>
      </c>
      <c r="N13" s="65"/>
      <c r="O13" s="66"/>
      <c r="P13" s="69" t="s">
        <v>102</v>
      </c>
      <c r="Q13" s="70">
        <v>21</v>
      </c>
      <c r="R13" s="67"/>
      <c r="S13" s="67">
        <v>0</v>
      </c>
      <c r="T13" s="67">
        <v>0</v>
      </c>
      <c r="U13" s="71"/>
      <c r="V13" s="64">
        <v>1013</v>
      </c>
      <c r="W13" s="121">
        <f t="shared" si="2"/>
        <v>1023.3539666220312</v>
      </c>
      <c r="X13" s="127">
        <v>0</v>
      </c>
      <c r="Y13" s="134">
        <v>0</v>
      </c>
      <c r="Z13" s="127">
        <v>0</v>
      </c>
      <c r="AA13">
        <f t="shared" si="8"/>
        <v>5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14.110830506745673</v>
      </c>
      <c r="AH13">
        <f t="shared" si="5"/>
        <v>13.120234466007751</v>
      </c>
      <c r="AI13">
        <f t="shared" si="6"/>
        <v>12.241334466007752</v>
      </c>
      <c r="AJ13">
        <f t="shared" si="12"/>
        <v>9.961058611492213</v>
      </c>
    </row>
    <row r="14" spans="1:36" ht="12.75">
      <c r="A14" s="72">
        <v>6</v>
      </c>
      <c r="B14" s="73">
        <v>10</v>
      </c>
      <c r="C14" s="74">
        <v>9.4</v>
      </c>
      <c r="D14" s="74">
        <v>13.8</v>
      </c>
      <c r="E14" s="74">
        <v>8</v>
      </c>
      <c r="F14" s="75">
        <f t="shared" si="0"/>
        <v>10.9</v>
      </c>
      <c r="G14" s="67">
        <f t="shared" si="7"/>
        <v>92.14459883120891</v>
      </c>
      <c r="H14" s="76">
        <f t="shared" si="1"/>
        <v>8.784825355207667</v>
      </c>
      <c r="I14" s="77">
        <v>3.7</v>
      </c>
      <c r="J14" s="75"/>
      <c r="K14" s="77">
        <v>9.7</v>
      </c>
      <c r="L14" s="74">
        <v>9</v>
      </c>
      <c r="M14" s="74">
        <v>9.1</v>
      </c>
      <c r="N14" s="74"/>
      <c r="O14" s="75"/>
      <c r="P14" s="78" t="s">
        <v>102</v>
      </c>
      <c r="Q14" s="79">
        <v>15</v>
      </c>
      <c r="R14" s="76"/>
      <c r="S14" s="76">
        <v>0</v>
      </c>
      <c r="T14" s="76">
        <v>0</v>
      </c>
      <c r="U14" s="80"/>
      <c r="V14" s="73">
        <v>1013.5</v>
      </c>
      <c r="W14" s="121">
        <f t="shared" si="2"/>
        <v>1023.9363673506675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12.273317807277772</v>
      </c>
      <c r="AH14">
        <f t="shared" si="5"/>
        <v>11.78859945679543</v>
      </c>
      <c r="AI14">
        <f t="shared" si="6"/>
        <v>11.30919945679543</v>
      </c>
      <c r="AJ14">
        <f t="shared" si="12"/>
        <v>8.784825355207667</v>
      </c>
    </row>
    <row r="15" spans="1:36" ht="12.75">
      <c r="A15" s="63">
        <v>7</v>
      </c>
      <c r="B15" s="64">
        <v>6.2</v>
      </c>
      <c r="C15" s="65">
        <v>6</v>
      </c>
      <c r="D15" s="65">
        <v>12.5</v>
      </c>
      <c r="E15" s="65">
        <v>5.7</v>
      </c>
      <c r="F15" s="66">
        <f t="shared" si="0"/>
        <v>9.1</v>
      </c>
      <c r="G15" s="67">
        <f t="shared" si="7"/>
        <v>96.94047920506509</v>
      </c>
      <c r="H15" s="67">
        <f t="shared" si="1"/>
        <v>5.751067812508444</v>
      </c>
      <c r="I15" s="68">
        <v>0</v>
      </c>
      <c r="J15" s="66"/>
      <c r="K15" s="68">
        <v>7.9</v>
      </c>
      <c r="L15" s="65">
        <v>8.1</v>
      </c>
      <c r="M15" s="65">
        <v>8.7</v>
      </c>
      <c r="N15" s="65"/>
      <c r="O15" s="66"/>
      <c r="P15" s="69" t="s">
        <v>104</v>
      </c>
      <c r="Q15" s="70">
        <v>22</v>
      </c>
      <c r="R15" s="67"/>
      <c r="S15" s="67">
        <v>0</v>
      </c>
      <c r="T15" s="67">
        <v>0</v>
      </c>
      <c r="U15" s="71"/>
      <c r="V15" s="64">
        <v>1017.5</v>
      </c>
      <c r="W15" s="121">
        <f t="shared" si="2"/>
        <v>1028.1209507302497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9.477279648605764</v>
      </c>
      <c r="AH15">
        <f t="shared" si="5"/>
        <v>9.347120306962537</v>
      </c>
      <c r="AI15">
        <f t="shared" si="6"/>
        <v>9.187320306962537</v>
      </c>
      <c r="AJ15">
        <f t="shared" si="12"/>
        <v>5.751067812508444</v>
      </c>
    </row>
    <row r="16" spans="1:36" ht="12.75">
      <c r="A16" s="72">
        <v>8</v>
      </c>
      <c r="B16" s="73">
        <v>7.9</v>
      </c>
      <c r="C16" s="74">
        <v>6</v>
      </c>
      <c r="D16" s="74">
        <v>7.9</v>
      </c>
      <c r="E16" s="74">
        <v>6</v>
      </c>
      <c r="F16" s="75">
        <f t="shared" si="0"/>
        <v>6.95</v>
      </c>
      <c r="G16" s="67">
        <f t="shared" si="7"/>
        <v>73.5134386131356</v>
      </c>
      <c r="H16" s="76">
        <f t="shared" si="1"/>
        <v>3.4654100526313445</v>
      </c>
      <c r="I16" s="77">
        <v>-0.1</v>
      </c>
      <c r="J16" s="75"/>
      <c r="K16" s="77">
        <v>7.5</v>
      </c>
      <c r="L16" s="74">
        <v>7.8</v>
      </c>
      <c r="M16" s="74">
        <v>8.2</v>
      </c>
      <c r="N16" s="74"/>
      <c r="O16" s="75"/>
      <c r="P16" s="78" t="s">
        <v>105</v>
      </c>
      <c r="Q16" s="79">
        <v>18</v>
      </c>
      <c r="R16" s="76"/>
      <c r="S16" s="76" t="s">
        <v>132</v>
      </c>
      <c r="T16" s="76">
        <v>0</v>
      </c>
      <c r="U16" s="80"/>
      <c r="V16" s="73">
        <v>1013</v>
      </c>
      <c r="W16" s="121">
        <f t="shared" si="2"/>
        <v>1023.5096321532108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10.649781121194382</v>
      </c>
      <c r="AH16">
        <f t="shared" si="5"/>
        <v>9.347120306962537</v>
      </c>
      <c r="AI16">
        <f t="shared" si="6"/>
        <v>7.829020306962537</v>
      </c>
      <c r="AJ16">
        <f t="shared" si="12"/>
        <v>3.4654100526313445</v>
      </c>
    </row>
    <row r="17" spans="1:46" ht="12.75">
      <c r="A17" s="63">
        <v>9</v>
      </c>
      <c r="B17" s="64">
        <v>5.4</v>
      </c>
      <c r="C17" s="65">
        <v>4.8</v>
      </c>
      <c r="D17" s="65">
        <v>9.2</v>
      </c>
      <c r="E17" s="65">
        <v>4.7</v>
      </c>
      <c r="F17" s="66">
        <f t="shared" si="0"/>
        <v>6.949999999999999</v>
      </c>
      <c r="G17" s="67">
        <f t="shared" si="7"/>
        <v>90.55666569937237</v>
      </c>
      <c r="H17" s="67">
        <f t="shared" si="1"/>
        <v>3.981874969773723</v>
      </c>
      <c r="I17" s="68">
        <v>-1.4</v>
      </c>
      <c r="J17" s="66"/>
      <c r="K17" s="68">
        <v>5.8</v>
      </c>
      <c r="L17" s="65">
        <v>6.3</v>
      </c>
      <c r="M17" s="65">
        <v>7.3</v>
      </c>
      <c r="N17" s="65"/>
      <c r="O17" s="66"/>
      <c r="P17" s="69" t="s">
        <v>104</v>
      </c>
      <c r="Q17" s="70">
        <v>9</v>
      </c>
      <c r="R17" s="67"/>
      <c r="S17" s="67">
        <v>3.3</v>
      </c>
      <c r="T17" s="67">
        <v>2.9</v>
      </c>
      <c r="U17" s="71"/>
      <c r="V17" s="64">
        <v>1010</v>
      </c>
      <c r="W17" s="121">
        <f t="shared" si="2"/>
        <v>1020.5731271832276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8.966052258259293</v>
      </c>
      <c r="AH17">
        <f t="shared" si="5"/>
        <v>8.598757969942895</v>
      </c>
      <c r="AI17">
        <f t="shared" si="6"/>
        <v>8.119357969942895</v>
      </c>
      <c r="AJ17">
        <f t="shared" si="12"/>
        <v>3.981874969773723</v>
      </c>
      <c r="AT17">
        <f aca="true" t="shared" si="13" ref="AT17:AT47">V9*(10^(85/(18429.1+(67.53*B9)+(0.003*31)))-1)</f>
        <v>10.324176299698127</v>
      </c>
    </row>
    <row r="18" spans="1:46" ht="12.75">
      <c r="A18" s="72">
        <v>10</v>
      </c>
      <c r="B18" s="73">
        <v>9</v>
      </c>
      <c r="C18" s="74">
        <v>8.7</v>
      </c>
      <c r="D18" s="74">
        <v>11.3</v>
      </c>
      <c r="E18" s="74">
        <v>5.4</v>
      </c>
      <c r="F18" s="75">
        <f t="shared" si="0"/>
        <v>8.350000000000001</v>
      </c>
      <c r="G18" s="67">
        <f t="shared" si="7"/>
        <v>95.90295306476962</v>
      </c>
      <c r="H18" s="76">
        <f t="shared" si="1"/>
        <v>8.382132121800174</v>
      </c>
      <c r="I18" s="77">
        <v>3.7</v>
      </c>
      <c r="J18" s="75"/>
      <c r="K18" s="77">
        <v>8.9</v>
      </c>
      <c r="L18" s="74">
        <v>8.7</v>
      </c>
      <c r="M18" s="74">
        <v>8.8</v>
      </c>
      <c r="N18" s="74"/>
      <c r="O18" s="75"/>
      <c r="P18" s="78" t="s">
        <v>104</v>
      </c>
      <c r="Q18" s="79">
        <v>7</v>
      </c>
      <c r="R18" s="76"/>
      <c r="S18" s="76" t="s">
        <v>132</v>
      </c>
      <c r="T18" s="76">
        <v>0</v>
      </c>
      <c r="U18" s="80"/>
      <c r="V18" s="73">
        <v>1010.5</v>
      </c>
      <c r="W18" s="121">
        <f t="shared" si="2"/>
        <v>1020.9425768031739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11.474893337456098</v>
      </c>
      <c r="AH18">
        <f t="shared" si="5"/>
        <v>11.244461571652899</v>
      </c>
      <c r="AI18">
        <f t="shared" si="6"/>
        <v>11.004761571652898</v>
      </c>
      <c r="AJ18">
        <f t="shared" si="12"/>
        <v>8.382132121800174</v>
      </c>
      <c r="AT18">
        <f t="shared" si="13"/>
        <v>10.048975891743561</v>
      </c>
    </row>
    <row r="19" spans="1:46" ht="12.75">
      <c r="A19" s="63">
        <v>11</v>
      </c>
      <c r="B19" s="64">
        <v>6.4</v>
      </c>
      <c r="C19" s="65">
        <v>6.2</v>
      </c>
      <c r="D19" s="65">
        <v>11.4</v>
      </c>
      <c r="E19" s="65">
        <v>6.1</v>
      </c>
      <c r="F19" s="66">
        <f t="shared" si="0"/>
        <v>8.75</v>
      </c>
      <c r="G19" s="67">
        <f t="shared" si="7"/>
        <v>96.96582203363526</v>
      </c>
      <c r="H19" s="67">
        <f t="shared" si="1"/>
        <v>5.954111626414727</v>
      </c>
      <c r="I19" s="68">
        <v>1.9</v>
      </c>
      <c r="J19" s="66"/>
      <c r="K19" s="68">
        <v>8</v>
      </c>
      <c r="L19" s="65">
        <v>8.1</v>
      </c>
      <c r="M19" s="65">
        <v>8.6</v>
      </c>
      <c r="N19" s="65"/>
      <c r="O19" s="66"/>
      <c r="P19" s="69" t="s">
        <v>104</v>
      </c>
      <c r="Q19" s="70">
        <v>13</v>
      </c>
      <c r="R19" s="67"/>
      <c r="S19" s="67">
        <v>2.7</v>
      </c>
      <c r="T19" s="67">
        <v>4.5</v>
      </c>
      <c r="U19" s="71"/>
      <c r="V19" s="64">
        <v>1011</v>
      </c>
      <c r="W19" s="121">
        <f t="shared" si="2"/>
        <v>1021.545505910702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9.609034867330614</v>
      </c>
      <c r="AH19">
        <f t="shared" si="5"/>
        <v>9.477279648605764</v>
      </c>
      <c r="AI19">
        <f t="shared" si="6"/>
        <v>9.317479648605763</v>
      </c>
      <c r="AJ19">
        <f t="shared" si="12"/>
        <v>5.954111626414727</v>
      </c>
      <c r="AT19">
        <f t="shared" si="13"/>
        <v>10.176416752509226</v>
      </c>
    </row>
    <row r="20" spans="1:46" ht="12.75">
      <c r="A20" s="72">
        <v>12</v>
      </c>
      <c r="B20" s="73">
        <v>10.6</v>
      </c>
      <c r="C20" s="74">
        <v>10.3</v>
      </c>
      <c r="D20" s="74">
        <v>12</v>
      </c>
      <c r="E20" s="74">
        <v>6.2</v>
      </c>
      <c r="F20" s="75">
        <f t="shared" si="0"/>
        <v>9.1</v>
      </c>
      <c r="G20" s="67">
        <f t="shared" si="7"/>
        <v>96.14103457341763</v>
      </c>
      <c r="H20" s="76">
        <f t="shared" si="1"/>
        <v>10.011150690365948</v>
      </c>
      <c r="I20" s="77">
        <v>6.3</v>
      </c>
      <c r="J20" s="75"/>
      <c r="K20" s="77">
        <v>10.3</v>
      </c>
      <c r="L20" s="74">
        <v>10</v>
      </c>
      <c r="M20" s="74">
        <v>9.9</v>
      </c>
      <c r="N20" s="74"/>
      <c r="O20" s="75"/>
      <c r="P20" s="78" t="s">
        <v>103</v>
      </c>
      <c r="Q20" s="79">
        <v>14</v>
      </c>
      <c r="R20" s="76"/>
      <c r="S20" s="76">
        <v>0.2</v>
      </c>
      <c r="T20" s="76">
        <v>0.1</v>
      </c>
      <c r="U20" s="80"/>
      <c r="V20" s="73">
        <v>1003.5</v>
      </c>
      <c r="W20" s="121">
        <f t="shared" si="2"/>
        <v>1013.8114125204391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12.775491423705457</v>
      </c>
      <c r="AH20">
        <f t="shared" si="5"/>
        <v>12.522189626588666</v>
      </c>
      <c r="AI20">
        <f t="shared" si="6"/>
        <v>12.282489626588667</v>
      </c>
      <c r="AJ20">
        <f t="shared" si="12"/>
        <v>10.011150690365948</v>
      </c>
      <c r="AT20">
        <f t="shared" si="13"/>
        <v>10.586416572524382</v>
      </c>
    </row>
    <row r="21" spans="1:46" ht="12.75">
      <c r="A21" s="63">
        <v>13</v>
      </c>
      <c r="B21" s="64">
        <v>7</v>
      </c>
      <c r="C21" s="65">
        <v>6.7</v>
      </c>
      <c r="D21" s="65">
        <v>11.7</v>
      </c>
      <c r="E21" s="65">
        <v>5.5</v>
      </c>
      <c r="F21" s="66">
        <f t="shared" si="0"/>
        <v>8.6</v>
      </c>
      <c r="G21" s="67">
        <f t="shared" si="7"/>
        <v>95.56575448294066</v>
      </c>
      <c r="H21" s="67">
        <f t="shared" si="1"/>
        <v>6.340994680137894</v>
      </c>
      <c r="I21" s="68">
        <v>-0.1</v>
      </c>
      <c r="J21" s="66"/>
      <c r="K21" s="68">
        <v>6.2</v>
      </c>
      <c r="L21" s="65">
        <v>6.9</v>
      </c>
      <c r="M21" s="65">
        <v>7.9</v>
      </c>
      <c r="N21" s="65"/>
      <c r="O21" s="66"/>
      <c r="P21" s="69" t="s">
        <v>106</v>
      </c>
      <c r="Q21" s="70">
        <v>25</v>
      </c>
      <c r="R21" s="67"/>
      <c r="S21" s="67">
        <v>1</v>
      </c>
      <c r="T21" s="67">
        <v>1.2</v>
      </c>
      <c r="U21" s="71"/>
      <c r="V21" s="64">
        <v>1011</v>
      </c>
      <c r="W21" s="121">
        <f t="shared" si="2"/>
        <v>1021.5227833960679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10.014043920115377</v>
      </c>
      <c r="AH21">
        <f t="shared" si="5"/>
        <v>9.809696626511307</v>
      </c>
      <c r="AI21">
        <f t="shared" si="6"/>
        <v>9.569996626511308</v>
      </c>
      <c r="AJ21">
        <f t="shared" si="12"/>
        <v>6.340994680137894</v>
      </c>
      <c r="AT21">
        <f t="shared" si="13"/>
        <v>10.353966622031235</v>
      </c>
    </row>
    <row r="22" spans="1:46" ht="12.75">
      <c r="A22" s="72">
        <v>14</v>
      </c>
      <c r="B22" s="73">
        <v>9.3</v>
      </c>
      <c r="C22" s="74">
        <v>8</v>
      </c>
      <c r="D22" s="74">
        <v>11</v>
      </c>
      <c r="E22" s="74">
        <v>7</v>
      </c>
      <c r="F22" s="75">
        <f t="shared" si="0"/>
        <v>9</v>
      </c>
      <c r="G22" s="67">
        <f t="shared" si="7"/>
        <v>82.70113652233042</v>
      </c>
      <c r="H22" s="76">
        <f t="shared" si="1"/>
        <v>6.5125190995854</v>
      </c>
      <c r="I22" s="77">
        <v>4.2</v>
      </c>
      <c r="J22" s="75"/>
      <c r="K22" s="77">
        <v>8.1</v>
      </c>
      <c r="L22" s="74">
        <v>8.4</v>
      </c>
      <c r="M22" s="74">
        <v>8.9</v>
      </c>
      <c r="N22" s="74"/>
      <c r="O22" s="75"/>
      <c r="P22" s="78" t="s">
        <v>106</v>
      </c>
      <c r="Q22" s="79">
        <v>40</v>
      </c>
      <c r="R22" s="76"/>
      <c r="S22" s="76">
        <v>1</v>
      </c>
      <c r="T22" s="76">
        <v>0.8</v>
      </c>
      <c r="U22" s="80"/>
      <c r="V22" s="73">
        <v>997</v>
      </c>
      <c r="W22" s="121">
        <f t="shared" si="2"/>
        <v>1007.2920577370039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11.709473318755796</v>
      </c>
      <c r="AH22">
        <f t="shared" si="5"/>
        <v>10.722567515390086</v>
      </c>
      <c r="AI22">
        <f t="shared" si="6"/>
        <v>9.683867515390086</v>
      </c>
      <c r="AJ22">
        <f t="shared" si="12"/>
        <v>6.5125190995854</v>
      </c>
      <c r="AT22">
        <f t="shared" si="13"/>
        <v>10.43636735066757</v>
      </c>
    </row>
    <row r="23" spans="1:46" ht="12.75">
      <c r="A23" s="63">
        <v>15</v>
      </c>
      <c r="B23" s="64">
        <v>8.8</v>
      </c>
      <c r="C23" s="65">
        <v>7.4</v>
      </c>
      <c r="D23" s="65">
        <v>10.7</v>
      </c>
      <c r="E23" s="65">
        <v>6.9</v>
      </c>
      <c r="F23" s="66">
        <f t="shared" si="0"/>
        <v>8.8</v>
      </c>
      <c r="G23" s="67">
        <f t="shared" si="7"/>
        <v>81.03427175180524</v>
      </c>
      <c r="H23" s="67">
        <f t="shared" si="1"/>
        <v>5.729737263111905</v>
      </c>
      <c r="I23" s="68">
        <v>4.2</v>
      </c>
      <c r="J23" s="66"/>
      <c r="K23" s="68">
        <v>8</v>
      </c>
      <c r="L23" s="65">
        <v>8</v>
      </c>
      <c r="M23" s="65">
        <v>8.4</v>
      </c>
      <c r="N23" s="65"/>
      <c r="O23" s="66"/>
      <c r="P23" s="69" t="s">
        <v>103</v>
      </c>
      <c r="Q23" s="70">
        <v>13</v>
      </c>
      <c r="R23" s="67"/>
      <c r="S23" s="67">
        <v>0</v>
      </c>
      <c r="T23" s="67">
        <v>0</v>
      </c>
      <c r="U23" s="71"/>
      <c r="V23" s="64">
        <v>1001.5</v>
      </c>
      <c r="W23" s="121">
        <f t="shared" si="2"/>
        <v>1011.8569558836226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11.32081514642534</v>
      </c>
      <c r="AH23">
        <f t="shared" si="5"/>
        <v>10.29234011027384</v>
      </c>
      <c r="AI23">
        <f t="shared" si="6"/>
        <v>9.173740110273839</v>
      </c>
      <c r="AJ23">
        <f t="shared" si="12"/>
        <v>5.729737263111905</v>
      </c>
      <c r="AT23">
        <f t="shared" si="13"/>
        <v>10.620950730249682</v>
      </c>
    </row>
    <row r="24" spans="1:46" ht="12.75">
      <c r="A24" s="72">
        <v>16</v>
      </c>
      <c r="B24" s="73">
        <v>4.6</v>
      </c>
      <c r="C24" s="74">
        <v>4</v>
      </c>
      <c r="D24" s="74">
        <v>9.1</v>
      </c>
      <c r="E24" s="74">
        <v>2.1</v>
      </c>
      <c r="F24" s="75">
        <f t="shared" si="0"/>
        <v>5.6</v>
      </c>
      <c r="G24" s="67">
        <f t="shared" si="7"/>
        <v>90.22332058524619</v>
      </c>
      <c r="H24" s="76">
        <f t="shared" si="1"/>
        <v>3.1390515288939813</v>
      </c>
      <c r="I24" s="77">
        <v>-1.7</v>
      </c>
      <c r="J24" s="75"/>
      <c r="K24" s="77">
        <v>5.5</v>
      </c>
      <c r="L24" s="74">
        <v>6</v>
      </c>
      <c r="M24" s="74">
        <v>6.6</v>
      </c>
      <c r="N24" s="74"/>
      <c r="O24" s="75"/>
      <c r="P24" s="78" t="s">
        <v>103</v>
      </c>
      <c r="Q24" s="79">
        <v>13</v>
      </c>
      <c r="R24" s="76"/>
      <c r="S24" s="76">
        <v>0</v>
      </c>
      <c r="T24" s="76">
        <v>0</v>
      </c>
      <c r="U24" s="80"/>
      <c r="V24" s="73">
        <v>1007.5</v>
      </c>
      <c r="W24" s="121">
        <f t="shared" si="2"/>
        <v>1018.0775203541305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8.479312848497392</v>
      </c>
      <c r="AH24">
        <f t="shared" si="5"/>
        <v>8.129717614725772</v>
      </c>
      <c r="AI24">
        <f t="shared" si="6"/>
        <v>7.650317614725772</v>
      </c>
      <c r="AJ24">
        <f t="shared" si="12"/>
        <v>3.1390515288939813</v>
      </c>
      <c r="AT24">
        <f t="shared" si="13"/>
        <v>10.509632153210791</v>
      </c>
    </row>
    <row r="25" spans="1:46" ht="12.75">
      <c r="A25" s="63">
        <v>17</v>
      </c>
      <c r="B25" s="64">
        <v>5.9</v>
      </c>
      <c r="C25" s="65">
        <v>5.4</v>
      </c>
      <c r="D25" s="65">
        <v>13.7</v>
      </c>
      <c r="E25" s="65">
        <v>2</v>
      </c>
      <c r="F25" s="66">
        <f t="shared" si="0"/>
        <v>7.85</v>
      </c>
      <c r="G25" s="67">
        <f t="shared" si="7"/>
        <v>92.28579251425498</v>
      </c>
      <c r="H25" s="67">
        <f t="shared" si="1"/>
        <v>4.7463171159478215</v>
      </c>
      <c r="I25" s="68">
        <v>-2.3</v>
      </c>
      <c r="J25" s="66"/>
      <c r="K25" s="68">
        <v>6</v>
      </c>
      <c r="L25" s="65">
        <v>6.1</v>
      </c>
      <c r="M25" s="65">
        <v>6.6</v>
      </c>
      <c r="N25" s="65"/>
      <c r="O25" s="66"/>
      <c r="P25" s="69" t="s">
        <v>106</v>
      </c>
      <c r="Q25" s="70">
        <v>20</v>
      </c>
      <c r="R25" s="67"/>
      <c r="S25" s="67">
        <v>1.8</v>
      </c>
      <c r="T25" s="67">
        <v>2.5</v>
      </c>
      <c r="U25" s="71"/>
      <c r="V25" s="64">
        <v>1007.5</v>
      </c>
      <c r="W25" s="121">
        <f t="shared" si="2"/>
        <v>1018.0279429371922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9.282633897234025</v>
      </c>
      <c r="AH25">
        <f t="shared" si="5"/>
        <v>8.966052258259293</v>
      </c>
      <c r="AI25">
        <f t="shared" si="6"/>
        <v>8.566552258259293</v>
      </c>
      <c r="AJ25">
        <f t="shared" si="12"/>
        <v>4.7463171159478215</v>
      </c>
      <c r="AT25">
        <f t="shared" si="13"/>
        <v>10.573127183227646</v>
      </c>
    </row>
    <row r="26" spans="1:46" ht="12.75">
      <c r="A26" s="72">
        <v>18</v>
      </c>
      <c r="B26" s="73">
        <v>13</v>
      </c>
      <c r="C26" s="74">
        <v>12.2</v>
      </c>
      <c r="D26" s="74">
        <v>14.4</v>
      </c>
      <c r="E26" s="74">
        <v>5.9</v>
      </c>
      <c r="F26" s="75">
        <f t="shared" si="0"/>
        <v>10.15</v>
      </c>
      <c r="G26" s="67">
        <f t="shared" si="7"/>
        <v>90.61593089863223</v>
      </c>
      <c r="H26" s="76">
        <f t="shared" si="1"/>
        <v>11.502461188182753</v>
      </c>
      <c r="I26" s="77">
        <v>5.4</v>
      </c>
      <c r="J26" s="75"/>
      <c r="K26" s="77">
        <v>11.2</v>
      </c>
      <c r="L26" s="74">
        <v>10.6</v>
      </c>
      <c r="M26" s="74">
        <v>10</v>
      </c>
      <c r="N26" s="74"/>
      <c r="O26" s="75"/>
      <c r="P26" s="78" t="s">
        <v>102</v>
      </c>
      <c r="Q26" s="79">
        <v>24</v>
      </c>
      <c r="R26" s="76"/>
      <c r="S26" s="76">
        <v>0</v>
      </c>
      <c r="T26" s="76">
        <v>0</v>
      </c>
      <c r="U26" s="80"/>
      <c r="V26" s="73">
        <v>1008.5</v>
      </c>
      <c r="W26" s="121">
        <f t="shared" si="2"/>
        <v>1018.7753583714948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14.96962212299885</v>
      </c>
      <c r="AH26">
        <f t="shared" si="5"/>
        <v>14.204062438763</v>
      </c>
      <c r="AI26">
        <f t="shared" si="6"/>
        <v>13.564862438762999</v>
      </c>
      <c r="AJ26">
        <f t="shared" si="12"/>
        <v>11.502461188182753</v>
      </c>
      <c r="AT26">
        <f t="shared" si="13"/>
        <v>10.442576803173882</v>
      </c>
    </row>
    <row r="27" spans="1:46" ht="12.75">
      <c r="A27" s="63">
        <v>19</v>
      </c>
      <c r="B27" s="64">
        <v>12.3</v>
      </c>
      <c r="C27" s="65">
        <v>11.1</v>
      </c>
      <c r="D27" s="65">
        <v>14.7</v>
      </c>
      <c r="E27" s="65">
        <v>11.3</v>
      </c>
      <c r="F27" s="66">
        <f t="shared" si="0"/>
        <v>13</v>
      </c>
      <c r="G27" s="67">
        <f t="shared" si="7"/>
        <v>85.66952938492575</v>
      </c>
      <c r="H27" s="67">
        <f t="shared" si="1"/>
        <v>9.970263898755324</v>
      </c>
      <c r="I27" s="68">
        <v>9</v>
      </c>
      <c r="J27" s="66"/>
      <c r="K27" s="68">
        <v>10.5</v>
      </c>
      <c r="L27" s="65">
        <v>10.1</v>
      </c>
      <c r="M27" s="65">
        <v>10</v>
      </c>
      <c r="N27" s="65"/>
      <c r="O27" s="66"/>
      <c r="P27" s="69" t="s">
        <v>102</v>
      </c>
      <c r="Q27" s="70">
        <v>23</v>
      </c>
      <c r="R27" s="67"/>
      <c r="S27" s="67">
        <v>0</v>
      </c>
      <c r="T27" s="67">
        <v>0</v>
      </c>
      <c r="U27" s="71"/>
      <c r="V27" s="64">
        <v>1007</v>
      </c>
      <c r="W27" s="121">
        <f t="shared" si="2"/>
        <v>1017.285385587574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14.297835429263056</v>
      </c>
      <c r="AH27">
        <f t="shared" si="5"/>
        <v>13.207688324480838</v>
      </c>
      <c r="AI27">
        <f t="shared" si="6"/>
        <v>12.248888324480838</v>
      </c>
      <c r="AJ27">
        <f t="shared" si="12"/>
        <v>9.970263898755324</v>
      </c>
      <c r="AT27">
        <f t="shared" si="13"/>
        <v>10.545505910702014</v>
      </c>
    </row>
    <row r="28" spans="1:46" ht="12.75">
      <c r="A28" s="72">
        <v>20</v>
      </c>
      <c r="B28" s="73">
        <v>11.1</v>
      </c>
      <c r="C28" s="74">
        <v>10</v>
      </c>
      <c r="D28" s="74">
        <v>11.9</v>
      </c>
      <c r="E28" s="74">
        <v>11.1</v>
      </c>
      <c r="F28" s="75">
        <f t="shared" si="0"/>
        <v>11.5</v>
      </c>
      <c r="G28" s="67">
        <f t="shared" si="7"/>
        <v>86.27109852492418</v>
      </c>
      <c r="H28" s="76">
        <f t="shared" si="1"/>
        <v>8.895836445384152</v>
      </c>
      <c r="I28" s="77">
        <v>9.9</v>
      </c>
      <c r="J28" s="75"/>
      <c r="K28" s="77">
        <v>10.6</v>
      </c>
      <c r="L28" s="74">
        <v>10.3</v>
      </c>
      <c r="M28" s="74">
        <v>10.3</v>
      </c>
      <c r="N28" s="74"/>
      <c r="O28" s="75"/>
      <c r="P28" s="78" t="s">
        <v>102</v>
      </c>
      <c r="Q28" s="79">
        <v>16</v>
      </c>
      <c r="R28" s="76"/>
      <c r="S28" s="76">
        <v>1</v>
      </c>
      <c r="T28" s="76">
        <v>1.2</v>
      </c>
      <c r="U28" s="80"/>
      <c r="V28" s="73">
        <v>1001.5</v>
      </c>
      <c r="W28" s="121">
        <f t="shared" si="2"/>
        <v>1011.7726515497392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13.207688324480838</v>
      </c>
      <c r="AH28">
        <f t="shared" si="5"/>
        <v>12.273317807277772</v>
      </c>
      <c r="AI28">
        <f t="shared" si="6"/>
        <v>11.394417807277772</v>
      </c>
      <c r="AJ28">
        <f t="shared" si="12"/>
        <v>8.895836445384152</v>
      </c>
      <c r="AT28">
        <f t="shared" si="13"/>
        <v>10.311412520439161</v>
      </c>
    </row>
    <row r="29" spans="1:46" ht="12.75">
      <c r="A29" s="63">
        <v>21</v>
      </c>
      <c r="B29" s="64">
        <v>2.2</v>
      </c>
      <c r="C29" s="65">
        <v>1.8</v>
      </c>
      <c r="D29" s="65">
        <v>6.7</v>
      </c>
      <c r="E29" s="65">
        <v>2.1</v>
      </c>
      <c r="F29" s="66">
        <f t="shared" si="0"/>
        <v>4.4</v>
      </c>
      <c r="G29" s="67">
        <f t="shared" si="7"/>
        <v>92.71367650947995</v>
      </c>
      <c r="H29" s="67">
        <f t="shared" si="1"/>
        <v>1.1450394216103195</v>
      </c>
      <c r="I29" s="68">
        <v>-1.8</v>
      </c>
      <c r="J29" s="66"/>
      <c r="K29" s="68">
        <v>6.4</v>
      </c>
      <c r="L29" s="65">
        <v>6.8</v>
      </c>
      <c r="M29" s="65">
        <v>8</v>
      </c>
      <c r="N29" s="65"/>
      <c r="O29" s="66"/>
      <c r="P29" s="69" t="s">
        <v>123</v>
      </c>
      <c r="Q29" s="70">
        <v>7</v>
      </c>
      <c r="R29" s="67"/>
      <c r="S29" s="67">
        <v>0.2</v>
      </c>
      <c r="T29" s="67" t="s">
        <v>132</v>
      </c>
      <c r="U29" s="71"/>
      <c r="V29" s="64">
        <v>1000</v>
      </c>
      <c r="W29" s="121">
        <f t="shared" si="2"/>
        <v>1010.590853969775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7.1560610769283075</v>
      </c>
      <c r="AH29">
        <f t="shared" si="5"/>
        <v>6.954247317684119</v>
      </c>
      <c r="AI29">
        <f t="shared" si="6"/>
        <v>6.634647317684118</v>
      </c>
      <c r="AJ29">
        <f t="shared" si="12"/>
        <v>1.1450394216103195</v>
      </c>
      <c r="AT29">
        <f t="shared" si="13"/>
        <v>10.522783396067899</v>
      </c>
    </row>
    <row r="30" spans="1:46" ht="12.75">
      <c r="A30" s="72">
        <v>22</v>
      </c>
      <c r="B30" s="73">
        <v>3.8</v>
      </c>
      <c r="C30" s="74">
        <v>3.5</v>
      </c>
      <c r="D30" s="74">
        <v>5.8</v>
      </c>
      <c r="E30" s="74">
        <v>2.2</v>
      </c>
      <c r="F30" s="75">
        <f t="shared" si="0"/>
        <v>4</v>
      </c>
      <c r="G30" s="67">
        <f t="shared" si="7"/>
        <v>94.91553575862608</v>
      </c>
      <c r="H30" s="76">
        <f t="shared" si="1"/>
        <v>3.0616635746502765</v>
      </c>
      <c r="I30" s="77">
        <v>2</v>
      </c>
      <c r="J30" s="75"/>
      <c r="K30" s="77">
        <v>6.6</v>
      </c>
      <c r="L30" s="74">
        <v>6.8</v>
      </c>
      <c r="M30" s="74">
        <v>6.5</v>
      </c>
      <c r="N30" s="74"/>
      <c r="O30" s="75"/>
      <c r="P30" s="78" t="s">
        <v>123</v>
      </c>
      <c r="Q30" s="79">
        <v>9</v>
      </c>
      <c r="R30" s="76"/>
      <c r="S30" s="76">
        <v>0.8</v>
      </c>
      <c r="T30" s="76">
        <v>4</v>
      </c>
      <c r="U30" s="80"/>
      <c r="V30" s="73">
        <v>995</v>
      </c>
      <c r="W30" s="121">
        <f t="shared" si="2"/>
        <v>1005.4766461336085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8.016048052675158</v>
      </c>
      <c r="AH30">
        <f t="shared" si="5"/>
        <v>7.848174955865539</v>
      </c>
      <c r="AI30">
        <f t="shared" si="6"/>
        <v>7.608474955865539</v>
      </c>
      <c r="AJ30">
        <f t="shared" si="12"/>
        <v>3.0616635746502765</v>
      </c>
      <c r="AT30">
        <f t="shared" si="13"/>
        <v>10.292057737003969</v>
      </c>
    </row>
    <row r="31" spans="1:46" ht="12.75">
      <c r="A31" s="63">
        <v>23</v>
      </c>
      <c r="B31" s="64">
        <v>0.8</v>
      </c>
      <c r="C31" s="65">
        <v>0.4</v>
      </c>
      <c r="D31" s="65">
        <v>4.3</v>
      </c>
      <c r="E31" s="65">
        <v>-1.5</v>
      </c>
      <c r="F31" s="66">
        <f t="shared" si="0"/>
        <v>1.4</v>
      </c>
      <c r="G31" s="67">
        <f t="shared" si="7"/>
        <v>92.20871278355466</v>
      </c>
      <c r="H31" s="67">
        <f t="shared" si="1"/>
        <v>-0.3177016545058733</v>
      </c>
      <c r="I31" s="68">
        <v>-3.5</v>
      </c>
      <c r="J31" s="66"/>
      <c r="K31" s="68">
        <v>4.8</v>
      </c>
      <c r="L31" s="65">
        <v>5.1</v>
      </c>
      <c r="M31" s="65">
        <v>5.1</v>
      </c>
      <c r="N31" s="65"/>
      <c r="O31" s="66"/>
      <c r="P31" s="69" t="s">
        <v>123</v>
      </c>
      <c r="Q31" s="70">
        <v>9</v>
      </c>
      <c r="R31" s="67"/>
      <c r="S31" s="67">
        <v>0</v>
      </c>
      <c r="T31" s="67">
        <v>0</v>
      </c>
      <c r="U31" s="71"/>
      <c r="V31" s="64">
        <v>997.5</v>
      </c>
      <c r="W31" s="121">
        <f t="shared" si="2"/>
        <v>1008.1187004272821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6.471560733479681</v>
      </c>
      <c r="AH31">
        <f t="shared" si="5"/>
        <v>6.286942849347582</v>
      </c>
      <c r="AI31">
        <f t="shared" si="6"/>
        <v>5.967342849347582</v>
      </c>
      <c r="AJ31">
        <f t="shared" si="12"/>
        <v>-0.3177016545058733</v>
      </c>
      <c r="AT31">
        <f t="shared" si="13"/>
        <v>10.356955883622641</v>
      </c>
    </row>
    <row r="32" spans="1:46" ht="12.75">
      <c r="A32" s="72">
        <v>24</v>
      </c>
      <c r="B32" s="73">
        <v>-4.6</v>
      </c>
      <c r="C32" s="74">
        <v>-4.7</v>
      </c>
      <c r="D32" s="74">
        <v>7.2</v>
      </c>
      <c r="E32" s="74">
        <v>-4.9</v>
      </c>
      <c r="F32" s="75">
        <f t="shared" si="0"/>
        <v>1.15</v>
      </c>
      <c r="G32" s="67">
        <f t="shared" si="7"/>
        <v>97.58833209238081</v>
      </c>
      <c r="H32" s="76">
        <f t="shared" si="1"/>
        <v>-4.9224611875599615</v>
      </c>
      <c r="I32" s="77">
        <v>-7</v>
      </c>
      <c r="J32" s="75"/>
      <c r="K32" s="77">
        <v>1.2</v>
      </c>
      <c r="L32" s="74">
        <v>2.8</v>
      </c>
      <c r="M32" s="74">
        <v>4.6</v>
      </c>
      <c r="N32" s="74"/>
      <c r="O32" s="75"/>
      <c r="P32" s="78" t="s">
        <v>131</v>
      </c>
      <c r="Q32" s="79">
        <v>18</v>
      </c>
      <c r="R32" s="76"/>
      <c r="S32" s="76" t="s">
        <v>132</v>
      </c>
      <c r="T32" s="76">
        <v>0</v>
      </c>
      <c r="U32" s="80"/>
      <c r="V32" s="73">
        <v>1001</v>
      </c>
      <c r="W32" s="121">
        <f t="shared" si="2"/>
        <v>1011.8715860181165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24</v>
      </c>
      <c r="AC32">
        <f t="shared" si="10"/>
        <v>24</v>
      </c>
      <c r="AD32">
        <f t="shared" si="3"/>
        <v>0</v>
      </c>
      <c r="AE32">
        <f t="shared" si="4"/>
        <v>24</v>
      </c>
      <c r="AG32">
        <f t="shared" si="11"/>
        <v>4.342110711385634</v>
      </c>
      <c r="AH32">
        <f t="shared" si="5"/>
        <v>4.3093934208458515</v>
      </c>
      <c r="AI32">
        <f t="shared" si="6"/>
        <v>4.2373934208458515</v>
      </c>
      <c r="AJ32">
        <f t="shared" si="12"/>
        <v>-4.9224611875599615</v>
      </c>
      <c r="AT32">
        <f t="shared" si="13"/>
        <v>10.577520354130407</v>
      </c>
    </row>
    <row r="33" spans="1:46" ht="12.75">
      <c r="A33" s="63">
        <v>25</v>
      </c>
      <c r="B33" s="64">
        <v>7</v>
      </c>
      <c r="C33" s="65">
        <v>6.3</v>
      </c>
      <c r="D33" s="65">
        <v>10.7</v>
      </c>
      <c r="E33" s="65">
        <v>1.5</v>
      </c>
      <c r="F33" s="66">
        <f t="shared" si="0"/>
        <v>6.1</v>
      </c>
      <c r="G33" s="67">
        <f t="shared" si="7"/>
        <v>89.71057848349149</v>
      </c>
      <c r="H33" s="67">
        <f t="shared" si="1"/>
        <v>5.428209837489287</v>
      </c>
      <c r="I33" s="68">
        <v>-2.9</v>
      </c>
      <c r="J33" s="66"/>
      <c r="K33" s="68">
        <v>5.8</v>
      </c>
      <c r="L33" s="65">
        <v>5.7</v>
      </c>
      <c r="M33" s="65">
        <v>5.8</v>
      </c>
      <c r="N33" s="65"/>
      <c r="O33" s="66"/>
      <c r="P33" s="69" t="s">
        <v>106</v>
      </c>
      <c r="Q33" s="70">
        <v>34</v>
      </c>
      <c r="R33" s="67"/>
      <c r="S33" s="67">
        <v>4.5</v>
      </c>
      <c r="T33" s="67">
        <v>5.5</v>
      </c>
      <c r="U33" s="71"/>
      <c r="V33" s="64">
        <v>995</v>
      </c>
      <c r="W33" s="121">
        <f t="shared" si="2"/>
        <v>1005.3562507211549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10.014043920115377</v>
      </c>
      <c r="AH33">
        <f t="shared" si="5"/>
        <v>9.542956730326413</v>
      </c>
      <c r="AI33">
        <f t="shared" si="6"/>
        <v>8.983656730326413</v>
      </c>
      <c r="AJ33">
        <f t="shared" si="12"/>
        <v>5.428209837489287</v>
      </c>
      <c r="AT33">
        <f t="shared" si="13"/>
        <v>10.52794293719217</v>
      </c>
    </row>
    <row r="34" spans="1:46" ht="12.75">
      <c r="A34" s="72">
        <v>26</v>
      </c>
      <c r="B34" s="73">
        <v>7.9</v>
      </c>
      <c r="C34" s="74">
        <v>7.5</v>
      </c>
      <c r="D34" s="74">
        <v>8.1</v>
      </c>
      <c r="E34" s="74">
        <v>7.1</v>
      </c>
      <c r="F34" s="75">
        <f t="shared" si="0"/>
        <v>7.6</v>
      </c>
      <c r="G34" s="67">
        <f t="shared" si="7"/>
        <v>94.30588421019102</v>
      </c>
      <c r="H34" s="76">
        <f t="shared" si="1"/>
        <v>7.042609935695885</v>
      </c>
      <c r="I34" s="77">
        <v>4.7</v>
      </c>
      <c r="J34" s="75"/>
      <c r="K34" s="77">
        <v>6</v>
      </c>
      <c r="L34" s="74">
        <v>7.9</v>
      </c>
      <c r="M34" s="74">
        <v>8</v>
      </c>
      <c r="N34" s="74"/>
      <c r="O34" s="75"/>
      <c r="P34" s="78" t="s">
        <v>102</v>
      </c>
      <c r="Q34" s="79">
        <v>21</v>
      </c>
      <c r="R34" s="76"/>
      <c r="S34" s="76">
        <v>3.8</v>
      </c>
      <c r="T34" s="76">
        <v>1.6</v>
      </c>
      <c r="U34" s="80"/>
      <c r="V34" s="73">
        <v>977</v>
      </c>
      <c r="W34" s="121">
        <f t="shared" si="2"/>
        <v>987.1361407835014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10.649781121194382</v>
      </c>
      <c r="AH34">
        <f t="shared" si="5"/>
        <v>10.362970252792357</v>
      </c>
      <c r="AI34">
        <f t="shared" si="6"/>
        <v>10.043370252792357</v>
      </c>
      <c r="AJ34">
        <f t="shared" si="12"/>
        <v>7.042609935695885</v>
      </c>
      <c r="AT34">
        <f t="shared" si="13"/>
        <v>10.27535837149483</v>
      </c>
    </row>
    <row r="35" spans="1:46" ht="12.75">
      <c r="A35" s="63">
        <v>27</v>
      </c>
      <c r="B35" s="64">
        <v>-2</v>
      </c>
      <c r="C35" s="65">
        <v>-2.4</v>
      </c>
      <c r="D35" s="65">
        <v>6.3</v>
      </c>
      <c r="E35" s="65">
        <v>-2.1</v>
      </c>
      <c r="F35" s="66">
        <f t="shared" si="0"/>
        <v>2.0999999999999996</v>
      </c>
      <c r="G35" s="67">
        <f t="shared" si="7"/>
        <v>91.61952024675486</v>
      </c>
      <c r="H35" s="67">
        <f t="shared" si="1"/>
        <v>-3.1776652622077997</v>
      </c>
      <c r="I35" s="68">
        <v>-5.3</v>
      </c>
      <c r="J35" s="66"/>
      <c r="K35" s="68">
        <v>1.5</v>
      </c>
      <c r="L35" s="65">
        <v>2.9</v>
      </c>
      <c r="M35" s="65">
        <v>4.3</v>
      </c>
      <c r="N35" s="65"/>
      <c r="O35" s="66"/>
      <c r="P35" s="69" t="s">
        <v>102</v>
      </c>
      <c r="Q35" s="70">
        <v>9</v>
      </c>
      <c r="R35" s="67"/>
      <c r="S35" s="67">
        <v>0</v>
      </c>
      <c r="T35" s="67">
        <v>0</v>
      </c>
      <c r="U35" s="71"/>
      <c r="V35" s="64">
        <v>992</v>
      </c>
      <c r="W35" s="121">
        <f t="shared" si="2"/>
        <v>1002.669883432056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5.273893991783833</v>
      </c>
      <c r="AH35">
        <f t="shared" si="5"/>
        <v>5.119916373594777</v>
      </c>
      <c r="AI35">
        <f t="shared" si="6"/>
        <v>4.831916373594777</v>
      </c>
      <c r="AJ35">
        <f t="shared" si="12"/>
        <v>-3.1776652622077997</v>
      </c>
      <c r="AT35">
        <f t="shared" si="13"/>
        <v>10.285385587574002</v>
      </c>
    </row>
    <row r="36" spans="1:46" ht="12.75">
      <c r="A36" s="72">
        <v>28</v>
      </c>
      <c r="B36" s="73">
        <v>-0.4</v>
      </c>
      <c r="C36" s="74">
        <v>-0.6</v>
      </c>
      <c r="D36" s="74">
        <v>8.8</v>
      </c>
      <c r="E36" s="74">
        <v>-1.9</v>
      </c>
      <c r="F36" s="75">
        <f t="shared" si="0"/>
        <v>3.45</v>
      </c>
      <c r="G36" s="67">
        <f t="shared" si="7"/>
        <v>96.12245221736748</v>
      </c>
      <c r="H36" s="76">
        <f t="shared" si="1"/>
        <v>-0.9407844571972753</v>
      </c>
      <c r="I36" s="77">
        <v>-5</v>
      </c>
      <c r="J36" s="75"/>
      <c r="K36" s="77">
        <v>1.6</v>
      </c>
      <c r="L36" s="74">
        <v>2.8</v>
      </c>
      <c r="M36" s="74">
        <v>3.9</v>
      </c>
      <c r="N36" s="74"/>
      <c r="O36" s="75"/>
      <c r="P36" s="78" t="s">
        <v>102</v>
      </c>
      <c r="Q36" s="79">
        <v>20</v>
      </c>
      <c r="R36" s="76"/>
      <c r="S36" s="76">
        <v>0.1</v>
      </c>
      <c r="T36" s="76" t="s">
        <v>132</v>
      </c>
      <c r="U36" s="80"/>
      <c r="V36" s="73">
        <v>1000</v>
      </c>
      <c r="W36" s="121">
        <f t="shared" si="2"/>
        <v>1010.6924412375948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5.931629852504364</v>
      </c>
      <c r="AH36">
        <f t="shared" si="5"/>
        <v>5.845628070684612</v>
      </c>
      <c r="AI36">
        <f t="shared" si="6"/>
        <v>5.701628070684612</v>
      </c>
      <c r="AJ36">
        <f t="shared" si="12"/>
        <v>-0.9407844571972753</v>
      </c>
      <c r="AT36">
        <f t="shared" si="13"/>
        <v>10.272651549739175</v>
      </c>
    </row>
    <row r="37" spans="1:46" ht="12.75">
      <c r="A37" s="63">
        <v>29</v>
      </c>
      <c r="B37" s="64">
        <v>8.2</v>
      </c>
      <c r="C37" s="65">
        <v>7.3</v>
      </c>
      <c r="D37" s="65">
        <v>11.8</v>
      </c>
      <c r="E37" s="65">
        <v>7.7</v>
      </c>
      <c r="F37" s="66">
        <f t="shared" si="0"/>
        <v>9.75</v>
      </c>
      <c r="G37" s="67">
        <f t="shared" si="7"/>
        <v>87.42879356108813</v>
      </c>
      <c r="H37" s="67">
        <f t="shared" si="1"/>
        <v>6.239287125431302</v>
      </c>
      <c r="I37" s="68">
        <v>7</v>
      </c>
      <c r="J37" s="66"/>
      <c r="K37" s="68">
        <v>6.2</v>
      </c>
      <c r="L37" s="65">
        <v>7</v>
      </c>
      <c r="M37" s="65">
        <v>6.9</v>
      </c>
      <c r="N37" s="65"/>
      <c r="O37" s="66"/>
      <c r="P37" s="69" t="s">
        <v>102</v>
      </c>
      <c r="Q37" s="70">
        <v>31</v>
      </c>
      <c r="R37" s="67"/>
      <c r="S37" s="67">
        <v>2.2</v>
      </c>
      <c r="T37" s="67">
        <v>1.2</v>
      </c>
      <c r="U37" s="71"/>
      <c r="V37" s="64">
        <v>993</v>
      </c>
      <c r="W37" s="121">
        <f t="shared" si="2"/>
        <v>1003.2910855097105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10.869456390833992</v>
      </c>
      <c r="AH37">
        <f t="shared" si="5"/>
        <v>10.22213458915475</v>
      </c>
      <c r="AI37">
        <f t="shared" si="6"/>
        <v>9.503034589154751</v>
      </c>
      <c r="AJ37">
        <f t="shared" si="12"/>
        <v>6.239287125431302</v>
      </c>
      <c r="AT37">
        <f t="shared" si="13"/>
        <v>10.590853969774994</v>
      </c>
    </row>
    <row r="38" spans="1:46" ht="12.75">
      <c r="A38" s="72">
        <v>30</v>
      </c>
      <c r="B38" s="73">
        <v>5.7</v>
      </c>
      <c r="C38" s="74">
        <v>5.4</v>
      </c>
      <c r="D38" s="74">
        <v>7.6</v>
      </c>
      <c r="E38" s="74">
        <v>3.4</v>
      </c>
      <c r="F38" s="75">
        <f t="shared" si="0"/>
        <v>5.5</v>
      </c>
      <c r="G38" s="67">
        <f t="shared" si="7"/>
        <v>95.31957783742516</v>
      </c>
      <c r="H38" s="76">
        <f t="shared" si="1"/>
        <v>5.010954321654451</v>
      </c>
      <c r="I38" s="77">
        <v>-1.5</v>
      </c>
      <c r="J38" s="75"/>
      <c r="K38" s="77">
        <v>5.2</v>
      </c>
      <c r="L38" s="74">
        <v>5.2</v>
      </c>
      <c r="M38" s="74">
        <v>6</v>
      </c>
      <c r="N38" s="74"/>
      <c r="O38" s="75"/>
      <c r="P38" s="78" t="s">
        <v>139</v>
      </c>
      <c r="Q38" s="79">
        <v>15</v>
      </c>
      <c r="R38" s="76"/>
      <c r="S38" s="76">
        <v>4.9</v>
      </c>
      <c r="T38" s="76">
        <v>4.6</v>
      </c>
      <c r="U38" s="80"/>
      <c r="V38" s="73">
        <v>993.5</v>
      </c>
      <c r="W38" s="121">
        <f t="shared" si="2"/>
        <v>1003.8891403981983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9.154837291812974</v>
      </c>
      <c r="AH38">
        <f t="shared" si="5"/>
        <v>8.966052258259293</v>
      </c>
      <c r="AI38">
        <f t="shared" si="6"/>
        <v>8.726352258259293</v>
      </c>
      <c r="AJ38">
        <f t="shared" si="12"/>
        <v>5.010954321654451</v>
      </c>
      <c r="AT38">
        <f t="shared" si="13"/>
        <v>10.476646133608455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/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10.618700427282064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10.871586018116494</v>
      </c>
    </row>
    <row r="41" spans="1:46" ht="13.5" thickBot="1">
      <c r="A41" s="113" t="s">
        <v>22</v>
      </c>
      <c r="B41" s="114">
        <f>SUM(B9:B39)</f>
        <v>200.10000000000002</v>
      </c>
      <c r="C41" s="115">
        <f aca="true" t="shared" si="14" ref="C41:U41">SUM(C9:C39)</f>
        <v>180.70000000000007</v>
      </c>
      <c r="D41" s="115">
        <f t="shared" si="14"/>
        <v>318.3</v>
      </c>
      <c r="E41" s="115">
        <f t="shared" si="14"/>
        <v>133.79999999999998</v>
      </c>
      <c r="F41" s="116">
        <f t="shared" si="14"/>
        <v>226.04999999999998</v>
      </c>
      <c r="G41" s="117">
        <f t="shared" si="14"/>
        <v>2726.5003526638707</v>
      </c>
      <c r="H41" s="117">
        <f>SUM(H9:H39)</f>
        <v>157.38500678881755</v>
      </c>
      <c r="I41" s="118">
        <f t="shared" si="14"/>
        <v>41.50000000000001</v>
      </c>
      <c r="J41" s="116">
        <f t="shared" si="14"/>
        <v>0</v>
      </c>
      <c r="K41" s="118">
        <f t="shared" si="14"/>
        <v>209.7</v>
      </c>
      <c r="L41" s="115">
        <f t="shared" si="14"/>
        <v>216.80000000000004</v>
      </c>
      <c r="M41" s="115">
        <f t="shared" si="14"/>
        <v>228.50000000000006</v>
      </c>
      <c r="N41" s="115">
        <f t="shared" si="14"/>
        <v>0</v>
      </c>
      <c r="O41" s="116">
        <f t="shared" si="14"/>
        <v>0</v>
      </c>
      <c r="P41" s="114"/>
      <c r="Q41" s="119">
        <f t="shared" si="14"/>
        <v>569</v>
      </c>
      <c r="R41" s="117">
        <f t="shared" si="14"/>
        <v>0</v>
      </c>
      <c r="S41" s="117">
        <f>SUM(S9:S39)</f>
        <v>34</v>
      </c>
      <c r="T41" s="139">
        <v>34.4</v>
      </c>
      <c r="U41" s="119">
        <f t="shared" si="14"/>
        <v>0</v>
      </c>
      <c r="V41" s="117">
        <f>SUM(V9:V39)</f>
        <v>30043</v>
      </c>
      <c r="W41" s="123">
        <f>SUM(W9:W39)</f>
        <v>30356.132909238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5</v>
      </c>
      <c r="AB41">
        <f>MAX(AB9:AB39)</f>
        <v>24</v>
      </c>
      <c r="AC41">
        <f>MAX(AC9:AC39)</f>
        <v>24</v>
      </c>
      <c r="AD41">
        <f>MAX(AD9:AD39)</f>
        <v>1</v>
      </c>
      <c r="AE41">
        <f>MAX(AE9:AE39)</f>
        <v>30</v>
      </c>
      <c r="AT41">
        <f t="shared" si="13"/>
        <v>10.356250721154856</v>
      </c>
    </row>
    <row r="42" spans="1:46" ht="12.75">
      <c r="A42" s="72" t="s">
        <v>23</v>
      </c>
      <c r="B42" s="73">
        <f>AVERAGE(B9:B39)</f>
        <v>6.670000000000001</v>
      </c>
      <c r="C42" s="74">
        <f aca="true" t="shared" si="15" ref="C42:U42">AVERAGE(C9:C39)</f>
        <v>6.023333333333336</v>
      </c>
      <c r="D42" s="74">
        <f t="shared" si="15"/>
        <v>10.610000000000001</v>
      </c>
      <c r="E42" s="74">
        <f t="shared" si="15"/>
        <v>4.459999999999999</v>
      </c>
      <c r="F42" s="75">
        <f t="shared" si="15"/>
        <v>7.534999999999999</v>
      </c>
      <c r="G42" s="76">
        <f t="shared" si="15"/>
        <v>90.88334508879569</v>
      </c>
      <c r="H42" s="76">
        <f>AVERAGE(H9:H39)</f>
        <v>5.246166892960585</v>
      </c>
      <c r="I42" s="77">
        <f t="shared" si="15"/>
        <v>1.3833333333333335</v>
      </c>
      <c r="J42" s="75" t="e">
        <f t="shared" si="15"/>
        <v>#DIV/0!</v>
      </c>
      <c r="K42" s="77">
        <f t="shared" si="15"/>
        <v>6.989999999999999</v>
      </c>
      <c r="L42" s="74">
        <f t="shared" si="15"/>
        <v>7.226666666666668</v>
      </c>
      <c r="M42" s="74">
        <f t="shared" si="15"/>
        <v>7.616666666666669</v>
      </c>
      <c r="N42" s="74" t="e">
        <f t="shared" si="15"/>
        <v>#DIV/0!</v>
      </c>
      <c r="O42" s="75" t="e">
        <f t="shared" si="15"/>
        <v>#DIV/0!</v>
      </c>
      <c r="P42" s="73"/>
      <c r="Q42" s="75">
        <f t="shared" si="15"/>
        <v>18.966666666666665</v>
      </c>
      <c r="R42" s="76" t="e">
        <f t="shared" si="15"/>
        <v>#DIV/0!</v>
      </c>
      <c r="S42" s="76">
        <f>AVERAGE(S9:S39)</f>
        <v>1.3076923076923077</v>
      </c>
      <c r="T42" s="76">
        <v>1.2</v>
      </c>
      <c r="U42" s="76" t="e">
        <f t="shared" si="15"/>
        <v>#DIV/0!</v>
      </c>
      <c r="V42" s="76">
        <f>AVERAGE(V9:V39)</f>
        <v>1001.4333333333333</v>
      </c>
      <c r="W42" s="124">
        <f>AVERAGE(W9:W39)</f>
        <v>1011.8710969746</v>
      </c>
      <c r="X42" s="127"/>
      <c r="Y42" s="134"/>
      <c r="Z42" s="130"/>
      <c r="AT42">
        <f t="shared" si="13"/>
        <v>10.136140783501425</v>
      </c>
    </row>
    <row r="43" spans="1:46" ht="12.75">
      <c r="A43" s="72" t="s">
        <v>24</v>
      </c>
      <c r="B43" s="73">
        <f>MAX(B9:B39)</f>
        <v>13</v>
      </c>
      <c r="C43" s="74">
        <f aca="true" t="shared" si="16" ref="C43:U43">MAX(C9:C39)</f>
        <v>12.2</v>
      </c>
      <c r="D43" s="74">
        <f t="shared" si="16"/>
        <v>14.8</v>
      </c>
      <c r="E43" s="74">
        <f t="shared" si="16"/>
        <v>11.3</v>
      </c>
      <c r="F43" s="75">
        <f t="shared" si="16"/>
        <v>13</v>
      </c>
      <c r="G43" s="76">
        <f t="shared" si="16"/>
        <v>103.15477664034125</v>
      </c>
      <c r="H43" s="76">
        <f>MAX(H9:H39)</f>
        <v>11.502461188182753</v>
      </c>
      <c r="I43" s="77">
        <f t="shared" si="16"/>
        <v>9.9</v>
      </c>
      <c r="J43" s="75">
        <f t="shared" si="16"/>
        <v>0</v>
      </c>
      <c r="K43" s="77">
        <f t="shared" si="16"/>
        <v>11.2</v>
      </c>
      <c r="L43" s="74">
        <f t="shared" si="16"/>
        <v>10.6</v>
      </c>
      <c r="M43" s="74">
        <f t="shared" si="16"/>
        <v>10.3</v>
      </c>
      <c r="N43" s="74">
        <f t="shared" si="16"/>
        <v>0</v>
      </c>
      <c r="O43" s="75">
        <f t="shared" si="16"/>
        <v>0</v>
      </c>
      <c r="P43" s="73"/>
      <c r="Q43" s="70">
        <f t="shared" si="16"/>
        <v>40</v>
      </c>
      <c r="R43" s="76">
        <f t="shared" si="16"/>
        <v>0</v>
      </c>
      <c r="S43" s="76">
        <f>MAX(S9:S39)</f>
        <v>5.6</v>
      </c>
      <c r="T43" s="140">
        <v>5.5</v>
      </c>
      <c r="U43" s="70">
        <f t="shared" si="16"/>
        <v>0</v>
      </c>
      <c r="V43" s="76">
        <f>MAX(V9:V39)</f>
        <v>1017.5</v>
      </c>
      <c r="W43" s="124">
        <f>MAX(W9:W39)</f>
        <v>1028.1209507302497</v>
      </c>
      <c r="X43" s="127"/>
      <c r="Y43" s="134"/>
      <c r="Z43" s="127"/>
      <c r="AT43">
        <f t="shared" si="13"/>
        <v>10.66988343205606</v>
      </c>
    </row>
    <row r="44" spans="1:46" ht="13.5" thickBot="1">
      <c r="A44" s="81" t="s">
        <v>25</v>
      </c>
      <c r="B44" s="82">
        <f>MIN(B9:B39)</f>
        <v>-4.6</v>
      </c>
      <c r="C44" s="83">
        <f aca="true" t="shared" si="17" ref="C44:U44">MIN(C9:C39)</f>
        <v>-4.7</v>
      </c>
      <c r="D44" s="83">
        <f t="shared" si="17"/>
        <v>4.3</v>
      </c>
      <c r="E44" s="83">
        <f t="shared" si="17"/>
        <v>-4.9</v>
      </c>
      <c r="F44" s="84">
        <f t="shared" si="17"/>
        <v>1.15</v>
      </c>
      <c r="G44" s="85">
        <f t="shared" si="17"/>
        <v>73.5134386131356</v>
      </c>
      <c r="H44" s="85">
        <f>MIN(H9:H39)</f>
        <v>-4.9224611875599615</v>
      </c>
      <c r="I44" s="86">
        <f t="shared" si="17"/>
        <v>-7</v>
      </c>
      <c r="J44" s="84">
        <f t="shared" si="17"/>
        <v>0</v>
      </c>
      <c r="K44" s="86">
        <f t="shared" si="17"/>
        <v>1.2</v>
      </c>
      <c r="L44" s="83">
        <f t="shared" si="17"/>
        <v>2.8</v>
      </c>
      <c r="M44" s="83">
        <f t="shared" si="17"/>
        <v>3.9</v>
      </c>
      <c r="N44" s="83">
        <f t="shared" si="17"/>
        <v>0</v>
      </c>
      <c r="O44" s="84">
        <f t="shared" si="17"/>
        <v>0</v>
      </c>
      <c r="P44" s="82"/>
      <c r="Q44" s="120">
        <f t="shared" si="17"/>
        <v>7</v>
      </c>
      <c r="R44" s="85">
        <f t="shared" si="17"/>
        <v>0</v>
      </c>
      <c r="S44" s="85">
        <f>MIN(S9:S39)</f>
        <v>0</v>
      </c>
      <c r="T44" s="141">
        <v>0</v>
      </c>
      <c r="U44" s="120">
        <f t="shared" si="17"/>
        <v>0</v>
      </c>
      <c r="V44" s="85">
        <f>MIN(V9:V39)</f>
        <v>977</v>
      </c>
      <c r="W44" s="125">
        <f>MIN(W9:W39)</f>
        <v>987.1361407835014</v>
      </c>
      <c r="X44" s="128"/>
      <c r="Y44" s="136"/>
      <c r="Z44" s="128"/>
      <c r="AT44">
        <f t="shared" si="13"/>
        <v>10.69244123759483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10.291085509710499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10.389140398198233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1</v>
      </c>
      <c r="F60" t="b">
        <f>S9="tr"</f>
        <v>0</v>
      </c>
    </row>
    <row r="61" spans="2:6" ht="12.75">
      <c r="B61">
        <f>DCOUNTA(S8:S38,1,B59:B60)</f>
        <v>19</v>
      </c>
      <c r="C61">
        <f>DCOUNTA(S8:S38,1,C59:C60)</f>
        <v>15</v>
      </c>
      <c r="D61">
        <f>DCOUNTA(S8:S38,1,D59:D60)</f>
        <v>5</v>
      </c>
      <c r="F61">
        <f>DCOUNTA(S8:S38,1,F59:F60)</f>
        <v>4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15</v>
      </c>
      <c r="C64">
        <f>(C61-F61)</f>
        <v>11</v>
      </c>
      <c r="D64">
        <f>(D61-F61)</f>
        <v>1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I20" sqref="I20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141</v>
      </c>
      <c r="I4" s="60" t="s">
        <v>59</v>
      </c>
      <c r="J4" s="60">
        <v>2003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51" t="s">
        <v>60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32</v>
      </c>
      <c r="B7" s="3"/>
      <c r="C7" s="22">
        <f>Data1!$D$42</f>
        <v>10.610000000000001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4.459999999999999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7.534999999999999</v>
      </c>
      <c r="D9" s="5">
        <v>1.4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14.8</v>
      </c>
      <c r="C10" s="5" t="s">
        <v>35</v>
      </c>
      <c r="D10" s="5">
        <f>Data1!$AA$41</f>
        <v>5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-4.9</v>
      </c>
      <c r="C11" s="5" t="s">
        <v>35</v>
      </c>
      <c r="D11" s="24">
        <f>Data1!$AB$41</f>
        <v>24</v>
      </c>
      <c r="E11" s="3"/>
      <c r="F11" s="40">
        <v>3</v>
      </c>
      <c r="G11" s="93" t="s">
        <v>109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-7</v>
      </c>
      <c r="C12" s="5" t="s">
        <v>35</v>
      </c>
      <c r="D12" s="24">
        <f>Data1!$AC$41</f>
        <v>24</v>
      </c>
      <c r="E12" s="3"/>
      <c r="F12" s="40">
        <v>4</v>
      </c>
      <c r="G12" s="93" t="s">
        <v>110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3" t="s">
        <v>111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112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113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3" t="s">
        <v>114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40</v>
      </c>
      <c r="B17" s="3" t="s">
        <v>41</v>
      </c>
      <c r="C17" s="21">
        <f>Data1!$S$41</f>
        <v>34</v>
      </c>
      <c r="D17" s="5">
        <v>53</v>
      </c>
      <c r="E17" s="3"/>
      <c r="F17" s="40">
        <v>9</v>
      </c>
      <c r="G17" s="93" t="s">
        <v>115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42</v>
      </c>
      <c r="B18" s="3"/>
      <c r="C18" s="5">
        <f>Data1!$B$64</f>
        <v>15</v>
      </c>
      <c r="D18" s="5"/>
      <c r="E18" s="3"/>
      <c r="F18" s="40">
        <v>10</v>
      </c>
      <c r="G18" s="93" t="s">
        <v>116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43</v>
      </c>
      <c r="B19" s="3"/>
      <c r="C19" s="5">
        <f>Data1!$C$64</f>
        <v>11</v>
      </c>
      <c r="D19" s="5"/>
      <c r="E19" s="3"/>
      <c r="F19" s="40">
        <v>11</v>
      </c>
      <c r="G19" s="93" t="s">
        <v>117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70</v>
      </c>
      <c r="B20" s="3"/>
      <c r="C20" s="5">
        <f>Data1!$D$64</f>
        <v>1</v>
      </c>
      <c r="D20" s="5"/>
      <c r="E20" s="3"/>
      <c r="F20" s="40">
        <v>12</v>
      </c>
      <c r="G20" s="93" t="s">
        <v>118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44</v>
      </c>
      <c r="B21" s="3" t="s">
        <v>45</v>
      </c>
      <c r="C21" s="5">
        <f>Data1!$S$43</f>
        <v>5.6</v>
      </c>
      <c r="D21" s="5"/>
      <c r="E21" s="3"/>
      <c r="F21" s="40">
        <v>13</v>
      </c>
      <c r="G21" s="93" t="s">
        <v>119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46</v>
      </c>
      <c r="B22" s="3"/>
      <c r="C22" s="24">
        <f>Data1!$AD$41</f>
        <v>1</v>
      </c>
      <c r="D22" s="5"/>
      <c r="E22" s="3"/>
      <c r="F22" s="40">
        <v>14</v>
      </c>
      <c r="G22" s="93" t="s">
        <v>120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121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3" t="s">
        <v>122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93" t="s">
        <v>124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3" t="s">
        <v>125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126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127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3" t="s">
        <v>128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98</v>
      </c>
      <c r="B30" s="3"/>
      <c r="C30" s="5">
        <f>Data1!$Q$43</f>
        <v>40</v>
      </c>
      <c r="D30" s="5"/>
      <c r="E30" s="5"/>
      <c r="F30" s="40">
        <v>22</v>
      </c>
      <c r="G30" s="93" t="s">
        <v>129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53</v>
      </c>
      <c r="B31" s="3"/>
      <c r="C31" s="5">
        <f>Data1!$AO$9</f>
        <v>1</v>
      </c>
      <c r="D31" s="22"/>
      <c r="E31" s="5"/>
      <c r="F31" s="40">
        <v>23</v>
      </c>
      <c r="G31" s="93" t="s">
        <v>130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133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3" t="s">
        <v>134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93" t="s">
        <v>135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93" t="s">
        <v>136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93" t="s">
        <v>137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93" t="s">
        <v>138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93" t="s">
        <v>140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26</v>
      </c>
      <c r="B39" s="3"/>
      <c r="C39" s="5">
        <f>Data1!$AM$9</f>
        <v>4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28</v>
      </c>
      <c r="B40" s="3"/>
      <c r="C40" s="5">
        <f>Data1!$AN$9</f>
        <v>13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2009-08-13T08:37:38Z</dcterms:modified>
  <cp:category/>
  <cp:version/>
  <cp:contentType/>
  <cp:contentStatus/>
</cp:coreProperties>
</file>