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<sst xmlns="http://schemas.openxmlformats.org/spreadsheetml/2006/main" count="193" uniqueCount="162">
  <si>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</si>
  <si>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</si>
  <si>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</si>
  <si>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</si>
  <si>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</si>
  <si>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</si>
  <si>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</si>
  <si>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</si>
  <si>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</si>
  <si>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</si>
  <si>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</si>
  <si>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</si>
  <si>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</si>
  <si>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</si>
  <si>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</si>
  <si>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</si>
  <si>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</si>
  <si>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</si>
  <si>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</si>
  <si>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</si>
  <si>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</si>
  <si>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</si>
  <si>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</si>
  <si>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</si>
  <si>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</si>
  <si>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</si>
  <si>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</si>
  <si>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</si>
  <si>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</si>
  <si>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</si>
  <si>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</si>
  <si>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</si>
  <si>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</si>
  <si>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</si>
  <si>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</si>
  <si>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</si>
  <si>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</si>
  <si>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</si>
  <si>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</si>
  <si>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</si>
  <si>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</si>
  <si>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</si>
  <si>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</si>
  <si>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</si>
  <si>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</si>
  <si>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</si>
  <si>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</si>
  <si>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</si>
  <si>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</si>
  <si>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</si>
  <si>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</si>
  <si>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</si>
  <si>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</si>
  <si>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</si>
  <si>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</si>
  <si>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</si>
  <si>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</si>
  <si>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</si>
  <si>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</si>
  <si>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</si>
  <si>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</si>
  <si>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</si>
  <si>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</si>
  <si>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</si>
  <si>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</si>
  <si>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</si>
  <si>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</si>
  <si>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</si>
  <si>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</si>
  <si>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</si>
  <si>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</si>
  <si>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</si>
  <si>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</si>
  <si>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</si>
  <si>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</si>
  <si>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</si>
  <si>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</si>
  <si>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</si>
  <si>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</si>
  <si>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</si>
  <si>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</si>
  <si>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</si>
  <si>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</si>
  <si>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</si>
  <si>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</si>
  <si>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</si>
  <si>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</si>
  <si>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</si>
  <si>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</si>
  <si>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</si>
  <si>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</si>
  <si>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</si>
  <si>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</si>
  <si>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</si>
  <si>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</si>
  <si>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</si>
  <si>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</si>
  <si>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</si>
  <si>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</si>
  <si>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</si>
  <si>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</si>
  <si>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</si>
  <si>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</si>
  <si>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</si>
  <si>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>S2</t>
  </si>
  <si>
    <t>SW1</t>
  </si>
  <si>
    <t>Nov</t>
  </si>
  <si>
    <t>Cold and damp with a lot of cloud and showers at times. A few bright intervals.</t>
  </si>
  <si>
    <t>W1</t>
  </si>
  <si>
    <t>NW1</t>
  </si>
  <si>
    <t>A damp start, clearing the frost, then bright and cold with some good sunny spells.</t>
  </si>
  <si>
    <t>Bright or sunny for most of the day. Feelign cold again. A frost early in the night.</t>
  </si>
  <si>
    <t>tr</t>
  </si>
  <si>
    <t>SW2</t>
  </si>
  <si>
    <t>SSW2</t>
  </si>
  <si>
    <t>WSW4</t>
  </si>
  <si>
    <t>S1</t>
  </si>
  <si>
    <t>SSE2</t>
  </si>
  <si>
    <t>SE2</t>
  </si>
  <si>
    <t>SSW3</t>
  </si>
  <si>
    <t>Cloudy and mild, and breezy at times too. Temperatures much higher than recently.</t>
  </si>
  <si>
    <t>Cloudy and damp with rain at times. Becoming milder, with temps rising into the night.</t>
  </si>
  <si>
    <t>A frosty start but clear and sunny. Remaining sunny for most of the day.</t>
  </si>
  <si>
    <t>A cloudy start and damp too, but brightening up as the day wore on to give some brightness.</t>
  </si>
  <si>
    <t>Cloudy and dull, but dry until later on when a spell of rain crept in, lasting overnight.</t>
  </si>
  <si>
    <t>Mostly cloudy but mild through the day. Temperatures into double figures by afternoon.</t>
  </si>
  <si>
    <t>Breezy but some sunshine developing as the day progressed. Temps about average.</t>
  </si>
  <si>
    <t>A frosty start early on, but clouding up quickly. Rain arriving by the afternoon, but light.</t>
  </si>
  <si>
    <t>A clear and frosty start, followed by a day of good sunny spells and light winds.</t>
  </si>
  <si>
    <t>A cold, raw day with a lot of mist of low cloud. Temperatures well below average.</t>
  </si>
  <si>
    <t>NNE1</t>
  </si>
  <si>
    <t>SE1</t>
  </si>
  <si>
    <t>WSW2</t>
  </si>
  <si>
    <t>Cloudy and rather cold with drizzle at times. More persistent rain later and overnight.</t>
  </si>
  <si>
    <t>A foggy start and remaining misty and cold through the day. Winds very light.</t>
  </si>
  <si>
    <t>Cloudy, damp and mild again with temperatures above average. Staying dull though.</t>
  </si>
  <si>
    <t>SE3</t>
  </si>
  <si>
    <t>A cold, frosty start with lots of sunshine through the day. Feeling chilly. Breezy later.</t>
  </si>
  <si>
    <t>Cloudy and damp start, but a generally dry day with cloud thinning. Clear by evening.</t>
  </si>
  <si>
    <t>SE4</t>
  </si>
  <si>
    <t>NW2</t>
  </si>
  <si>
    <t>SSE4</t>
  </si>
  <si>
    <t>N1</t>
  </si>
  <si>
    <t>SW3</t>
  </si>
  <si>
    <t>A clarer day with some good sunny spells. A few showers developing through the evening.</t>
  </si>
  <si>
    <t>Cloudy and chilly. Rain by lunchtime, becoming persistent and heavy thereafter.</t>
  </si>
  <si>
    <t>Sunny spells and lighter winds. A touch cooler with temperatures around average.</t>
  </si>
  <si>
    <t>Little or no bright spells and a lot of cloud, with spells of rain or showers.</t>
  </si>
  <si>
    <t>Further rain or showers, sometimes heavy. A little cooler than yesterday.</t>
  </si>
  <si>
    <t>Very mild and cloudy with spells of rain arriving through the day, espeiclally later.</t>
  </si>
  <si>
    <t>Mild and cloudy but mostly dry. One or two showers later on.</t>
  </si>
  <si>
    <t>N4</t>
  </si>
  <si>
    <t>Generally cloudy with some brighter weather at times. Further showery rain later.</t>
  </si>
  <si>
    <t>Much brighter and colder, with some sunny intervals through the day. Less windy.</t>
  </si>
  <si>
    <t>Cloudy and wet and windy  at first, but some brighter weather eventually arriving and drier too.</t>
  </si>
  <si>
    <t>Colder and brighter with some sunshine after a frosty start to the day.</t>
  </si>
  <si>
    <t>Cold again, but more cloud than yesterday. Remaining generally dry again, though a little rain overnight.</t>
  </si>
  <si>
    <t>NOTES:</t>
  </si>
  <si>
    <t>beating! However, the absolute max of 13.7C was the lowest such figure on 20 years of records. The warmest night, falling to 9.4C, was also</t>
  </si>
  <si>
    <t>the lowest such figure for November. Rainfall, at 98.6mm) was the wettest since 2002 (103.3mm) and the third wettest (behind 2000). The 24th</t>
  </si>
  <si>
    <t xml:space="preserve">saw a 24hr total of 27.3mm, and this was the wettest November day since 2000 (40.4mm). </t>
  </si>
  <si>
    <t>With a mean of 6.1C this was close to average for November in terms of temperature - and the coldest since 2010 (4.5C) which would take some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</si>
</sst>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7.7</c:v>
                </c:pt>
                <c:pt idx="1">
                  <c:v>8.8</c:v>
                </c:pt>
                <c:pt idx="2">
                  <c:v>8.1</c:v>
                </c:pt>
                <c:pt idx="3">
                  <c:v>5.3</c:v>
                </c:pt>
                <c:pt idx="4">
                  <c:v>10.2</c:v>
                </c:pt>
                <c:pt idx="5">
                  <c:v>9.7</c:v>
                </c:pt>
                <c:pt idx="6">
                  <c:v>10.4</c:v>
                </c:pt>
                <c:pt idx="7">
                  <c:v>11</c:v>
                </c:pt>
                <c:pt idx="8">
                  <c:v>10.1</c:v>
                </c:pt>
                <c:pt idx="9">
                  <c:v>9.6</c:v>
                </c:pt>
                <c:pt idx="10">
                  <c:v>10.3</c:v>
                </c:pt>
                <c:pt idx="11">
                  <c:v>11.1</c:v>
                </c:pt>
                <c:pt idx="12">
                  <c:v>13.3</c:v>
                </c:pt>
                <c:pt idx="13">
                  <c:v>12.7</c:v>
                </c:pt>
                <c:pt idx="14">
                  <c:v>7.7</c:v>
                </c:pt>
                <c:pt idx="15">
                  <c:v>7.9</c:v>
                </c:pt>
                <c:pt idx="16">
                  <c:v>8.5</c:v>
                </c:pt>
                <c:pt idx="17">
                  <c:v>7.7</c:v>
                </c:pt>
                <c:pt idx="18">
                  <c:v>11.9</c:v>
                </c:pt>
                <c:pt idx="19">
                  <c:v>13.7</c:v>
                </c:pt>
                <c:pt idx="20">
                  <c:v>10.2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4</c:v>
                </c:pt>
                <c:pt idx="1">
                  <c:v>3</c:v>
                </c:pt>
                <c:pt idx="2">
                  <c:v>0.5</c:v>
                </c:pt>
                <c:pt idx="3">
                  <c:v>0.2</c:v>
                </c:pt>
                <c:pt idx="4">
                  <c:v>-1.4</c:v>
                </c:pt>
                <c:pt idx="5">
                  <c:v>-1.9</c:v>
                </c:pt>
                <c:pt idx="6">
                  <c:v>3.1</c:v>
                </c:pt>
                <c:pt idx="7">
                  <c:v>6.5</c:v>
                </c:pt>
                <c:pt idx="8">
                  <c:v>7.8</c:v>
                </c:pt>
                <c:pt idx="9">
                  <c:v>7</c:v>
                </c:pt>
                <c:pt idx="10">
                  <c:v>-0.9</c:v>
                </c:pt>
                <c:pt idx="11">
                  <c:v>1.1</c:v>
                </c:pt>
                <c:pt idx="12">
                  <c:v>6.9</c:v>
                </c:pt>
                <c:pt idx="13">
                  <c:v>9.4</c:v>
                </c:pt>
                <c:pt idx="14">
                  <c:v>4.8</c:v>
                </c:pt>
                <c:pt idx="15">
                  <c:v>4.2</c:v>
                </c:pt>
                <c:pt idx="16">
                  <c:v>6.2</c:v>
                </c:pt>
                <c:pt idx="17">
                  <c:v>-1.1</c:v>
                </c:pt>
                <c:pt idx="18">
                  <c:v>0</c:v>
                </c:pt>
                <c:pt idx="19">
                  <c:v>7</c:v>
                </c:pt>
                <c:pt idx="20">
                  <c:v>7</c:v>
                </c:pt>
                <c:pt idx="21">
                  <c:v>4.2</c:v>
                </c:pt>
              </c:numCache>
            </c:numRef>
          </c:val>
          <c:smooth val="0"/>
        </c:ser>
        <c:marker val="1"/>
        <c:axId val="65743761"/>
        <c:axId val="54822938"/>
      </c:lineChart>
      <c:catAx>
        <c:axId val="65743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822938"/>
        <c:crosses val="autoZero"/>
        <c:auto val="1"/>
        <c:lblOffset val="100"/>
        <c:noMultiLvlLbl val="0"/>
      </c:catAx>
      <c:valAx>
        <c:axId val="54822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57437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0.9</c:v>
                </c:pt>
                <c:pt idx="1">
                  <c:v>1.3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0.9</c:v>
                </c:pt>
                <c:pt idx="6">
                  <c:v>0</c:v>
                </c:pt>
                <c:pt idx="7">
                  <c:v>0</c:v>
                </c:pt>
                <c:pt idx="8">
                  <c:v>1.8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9.4</c:v>
                </c:pt>
                <c:pt idx="16">
                  <c:v>0</c:v>
                </c:pt>
                <c:pt idx="17">
                  <c:v>0</c:v>
                </c:pt>
                <c:pt idx="18">
                  <c:v>0.7</c:v>
                </c:pt>
                <c:pt idx="19">
                  <c:v>21.1</c:v>
                </c:pt>
                <c:pt idx="20">
                  <c:v>10.3</c:v>
                </c:pt>
              </c:numCache>
            </c:numRef>
          </c:val>
        </c:ser>
        <c:axId val="23644395"/>
        <c:axId val="11472964"/>
      </c:barChart>
      <c:catAx>
        <c:axId val="23644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72964"/>
        <c:crosses val="autoZero"/>
        <c:auto val="1"/>
        <c:lblOffset val="100"/>
        <c:noMultiLvlLbl val="0"/>
      </c:catAx>
      <c:valAx>
        <c:axId val="11472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236443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1.2</c:v>
                </c:pt>
                <c:pt idx="1">
                  <c:v>4.4</c:v>
                </c:pt>
                <c:pt idx="2">
                  <c:v>2.4</c:v>
                </c:pt>
                <c:pt idx="3">
                  <c:v>0</c:v>
                </c:pt>
                <c:pt idx="4">
                  <c:v>5.8</c:v>
                </c:pt>
                <c:pt idx="5">
                  <c:v>0.3</c:v>
                </c:pt>
                <c:pt idx="6">
                  <c:v>1.5</c:v>
                </c:pt>
                <c:pt idx="7">
                  <c:v>0.5</c:v>
                </c:pt>
                <c:pt idx="8">
                  <c:v>0</c:v>
                </c:pt>
                <c:pt idx="9">
                  <c:v>1.3</c:v>
                </c:pt>
                <c:pt idx="10">
                  <c:v>5.8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</c:v>
                </c:pt>
                <c:pt idx="17">
                  <c:v>4.8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36147813"/>
        <c:axId val="56894862"/>
      </c:barChart>
      <c:catAx>
        <c:axId val="36147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94862"/>
        <c:crosses val="autoZero"/>
        <c:auto val="1"/>
        <c:lblOffset val="100"/>
        <c:noMultiLvlLbl val="0"/>
      </c:catAx>
      <c:valAx>
        <c:axId val="56894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361478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2</c:v>
                </c:pt>
                <c:pt idx="1">
                  <c:v>-1</c:v>
                </c:pt>
                <c:pt idx="2">
                  <c:v>-3.1</c:v>
                </c:pt>
                <c:pt idx="3">
                  <c:v>-2.4</c:v>
                </c:pt>
                <c:pt idx="4">
                  <c:v>-4.3</c:v>
                </c:pt>
                <c:pt idx="5">
                  <c:v>-4.8</c:v>
                </c:pt>
                <c:pt idx="6">
                  <c:v>-0.8</c:v>
                </c:pt>
                <c:pt idx="7">
                  <c:v>5.1</c:v>
                </c:pt>
                <c:pt idx="8">
                  <c:v>4.8</c:v>
                </c:pt>
                <c:pt idx="9">
                  <c:v>5.1</c:v>
                </c:pt>
                <c:pt idx="10">
                  <c:v>-3.9</c:v>
                </c:pt>
                <c:pt idx="11">
                  <c:v>-1.2</c:v>
                </c:pt>
                <c:pt idx="12">
                  <c:v>6.7</c:v>
                </c:pt>
                <c:pt idx="13">
                  <c:v>8.7</c:v>
                </c:pt>
                <c:pt idx="14">
                  <c:v>1.2</c:v>
                </c:pt>
                <c:pt idx="15">
                  <c:v>3.6</c:v>
                </c:pt>
                <c:pt idx="16">
                  <c:v>6.6</c:v>
                </c:pt>
                <c:pt idx="17">
                  <c:v>-5</c:v>
                </c:pt>
                <c:pt idx="18">
                  <c:v>-1</c:v>
                </c:pt>
                <c:pt idx="19">
                  <c:v>7</c:v>
                </c:pt>
                <c:pt idx="20">
                  <c:v>7</c:v>
                </c:pt>
                <c:pt idx="21">
                  <c:v>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42291711"/>
        <c:axId val="45081080"/>
      </c:lineChart>
      <c:catAx>
        <c:axId val="42291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081080"/>
        <c:crosses val="autoZero"/>
        <c:auto val="1"/>
        <c:lblOffset val="100"/>
        <c:noMultiLvlLbl val="0"/>
      </c:catAx>
      <c:valAx>
        <c:axId val="45081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22917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7.7</c:v>
                </c:pt>
                <c:pt idx="1">
                  <c:v>6</c:v>
                </c:pt>
                <c:pt idx="2">
                  <c:v>5.7</c:v>
                </c:pt>
                <c:pt idx="3">
                  <c:v>5.2</c:v>
                </c:pt>
                <c:pt idx="4">
                  <c:v>3.9</c:v>
                </c:pt>
                <c:pt idx="5">
                  <c:v>3.3</c:v>
                </c:pt>
                <c:pt idx="6">
                  <c:v>6.9</c:v>
                </c:pt>
                <c:pt idx="7">
                  <c:v>7.4</c:v>
                </c:pt>
                <c:pt idx="8">
                  <c:v>7.8</c:v>
                </c:pt>
                <c:pt idx="9">
                  <c:v>8.3</c:v>
                </c:pt>
                <c:pt idx="10">
                  <c:v>4.4</c:v>
                </c:pt>
                <c:pt idx="11">
                  <c:v>6.2</c:v>
                </c:pt>
                <c:pt idx="12">
                  <c:v>8.1</c:v>
                </c:pt>
                <c:pt idx="13">
                  <c:v>9.3</c:v>
                </c:pt>
                <c:pt idx="14">
                  <c:v>8.1</c:v>
                </c:pt>
                <c:pt idx="15">
                  <c:v>7.5</c:v>
                </c:pt>
                <c:pt idx="16">
                  <c:v>8.2</c:v>
                </c:pt>
                <c:pt idx="17">
                  <c:v>4.3</c:v>
                </c:pt>
                <c:pt idx="18">
                  <c:v>5.7</c:v>
                </c:pt>
                <c:pt idx="19">
                  <c:v>8.8</c:v>
                </c:pt>
                <c:pt idx="20">
                  <c:v>7.9</c:v>
                </c:pt>
                <c:pt idx="21">
                  <c:v>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8</c:v>
                </c:pt>
                <c:pt idx="1">
                  <c:v>6.7</c:v>
                </c:pt>
                <c:pt idx="2">
                  <c:v>6</c:v>
                </c:pt>
                <c:pt idx="3">
                  <c:v>5.8</c:v>
                </c:pt>
                <c:pt idx="4">
                  <c:v>4.9</c:v>
                </c:pt>
                <c:pt idx="5">
                  <c:v>4</c:v>
                </c:pt>
                <c:pt idx="6">
                  <c:v>6.5</c:v>
                </c:pt>
                <c:pt idx="7">
                  <c:v>7.9</c:v>
                </c:pt>
                <c:pt idx="8">
                  <c:v>8.1</c:v>
                </c:pt>
                <c:pt idx="9">
                  <c:v>8.8</c:v>
                </c:pt>
                <c:pt idx="10">
                  <c:v>5</c:v>
                </c:pt>
                <c:pt idx="11">
                  <c:v>6.7</c:v>
                </c:pt>
                <c:pt idx="12">
                  <c:v>8.4</c:v>
                </c:pt>
                <c:pt idx="13">
                  <c:v>9.5</c:v>
                </c:pt>
                <c:pt idx="14">
                  <c:v>8.4</c:v>
                </c:pt>
                <c:pt idx="15">
                  <c:v>7.9</c:v>
                </c:pt>
                <c:pt idx="16">
                  <c:v>8.6</c:v>
                </c:pt>
                <c:pt idx="17">
                  <c:v>5</c:v>
                </c:pt>
                <c:pt idx="18">
                  <c:v>6</c:v>
                </c:pt>
                <c:pt idx="19">
                  <c:v>8.9</c:v>
                </c:pt>
                <c:pt idx="20">
                  <c:v>8.4</c:v>
                </c:pt>
                <c:pt idx="21">
                  <c:v>7.9</c:v>
                </c:pt>
              </c:numCache>
            </c:numRef>
          </c:val>
          <c:smooth val="0"/>
        </c:ser>
        <c:marker val="1"/>
        <c:axId val="3076537"/>
        <c:axId val="27688834"/>
      </c:lineChart>
      <c:catAx>
        <c:axId val="3076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688834"/>
        <c:crosses val="autoZero"/>
        <c:auto val="1"/>
        <c:lblOffset val="100"/>
        <c:noMultiLvlLbl val="0"/>
      </c:catAx>
      <c:valAx>
        <c:axId val="27688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0765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11</c:v>
                </c:pt>
                <c:pt idx="1">
                  <c:v>10.9</c:v>
                </c:pt>
                <c:pt idx="2">
                  <c:v>10.7</c:v>
                </c:pt>
                <c:pt idx="3">
                  <c:v>10.6</c:v>
                </c:pt>
                <c:pt idx="4">
                  <c:v>10.3</c:v>
                </c:pt>
                <c:pt idx="5">
                  <c:v>10.1</c:v>
                </c:pt>
                <c:pt idx="6">
                  <c:v>9.9</c:v>
                </c:pt>
                <c:pt idx="7">
                  <c:v>9.9</c:v>
                </c:pt>
                <c:pt idx="8">
                  <c:v>9.9</c:v>
                </c:pt>
                <c:pt idx="9">
                  <c:v>10</c:v>
                </c:pt>
                <c:pt idx="10">
                  <c:v>10</c:v>
                </c:pt>
                <c:pt idx="11">
                  <c:v>9.9</c:v>
                </c:pt>
                <c:pt idx="12">
                  <c:v>9.9</c:v>
                </c:pt>
                <c:pt idx="13">
                  <c:v>9.9</c:v>
                </c:pt>
                <c:pt idx="14">
                  <c:v>10.1</c:v>
                </c:pt>
                <c:pt idx="15">
                  <c:v>10.1</c:v>
                </c:pt>
                <c:pt idx="16">
                  <c:v>10.1</c:v>
                </c:pt>
                <c:pt idx="17">
                  <c:v>10.1</c:v>
                </c:pt>
                <c:pt idx="18">
                  <c:v>0</c:v>
                </c:pt>
                <c:pt idx="19">
                  <c:v>9.8</c:v>
                </c:pt>
                <c:pt idx="20">
                  <c:v>9.8</c:v>
                </c:pt>
                <c:pt idx="21">
                  <c:v>9.9</c:v>
                </c:pt>
              </c:numCache>
            </c:numRef>
          </c:val>
          <c:smooth val="0"/>
        </c:ser>
        <c:marker val="1"/>
        <c:axId val="47872915"/>
        <c:axId val="28203052"/>
      </c:lineChart>
      <c:catAx>
        <c:axId val="47872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03052"/>
        <c:crosses val="autoZero"/>
        <c:auto val="1"/>
        <c:lblOffset val="100"/>
        <c:noMultiLvlLbl val="0"/>
      </c:catAx>
      <c:valAx>
        <c:axId val="282030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78729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975.3041409477736</c:v>
                </c:pt>
                <c:pt idx="1">
                  <c:v>987.1081860598938</c:v>
                </c:pt>
                <c:pt idx="2">
                  <c:v>993.0584252732968</c:v>
                </c:pt>
                <c:pt idx="3">
                  <c:v>992.83878555388</c:v>
                </c:pt>
                <c:pt idx="4">
                  <c:v>1006.7699208838497</c:v>
                </c:pt>
                <c:pt idx="5">
                  <c:v>1018.9437533526458</c:v>
                </c:pt>
                <c:pt idx="6">
                  <c:v>1024.2698649527897</c:v>
                </c:pt>
                <c:pt idx="7">
                  <c:v>1016.9985662461706</c:v>
                </c:pt>
                <c:pt idx="8">
                  <c:v>1008.743350566899</c:v>
                </c:pt>
                <c:pt idx="9">
                  <c:v>995.7316513207761</c:v>
                </c:pt>
                <c:pt idx="10">
                  <c:v>1010.0272165116207</c:v>
                </c:pt>
                <c:pt idx="11">
                  <c:v>1018.2932451791247</c:v>
                </c:pt>
                <c:pt idx="12">
                  <c:v>1024.1421368162407</c:v>
                </c:pt>
                <c:pt idx="13">
                  <c:v>1026.8328693527765</c:v>
                </c:pt>
                <c:pt idx="14">
                  <c:v>1023.9705397526265</c:v>
                </c:pt>
                <c:pt idx="15">
                  <c:v>1015.595295961946</c:v>
                </c:pt>
                <c:pt idx="16">
                  <c:v>1007.362182301518</c:v>
                </c:pt>
                <c:pt idx="17">
                  <c:v>1014.9215278474999</c:v>
                </c:pt>
                <c:pt idx="18">
                  <c:v>1006.5687406717734</c:v>
                </c:pt>
                <c:pt idx="19">
                  <c:v>1003.4597769870358</c:v>
                </c:pt>
                <c:pt idx="20">
                  <c:v>1004.2485179435722</c:v>
                </c:pt>
                <c:pt idx="21">
                  <c:v>1006.9560840345526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2500877"/>
        <c:axId val="2745846"/>
      </c:lineChart>
      <c:catAx>
        <c:axId val="52500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45846"/>
        <c:crosses val="autoZero"/>
        <c:auto val="1"/>
        <c:lblOffset val="100"/>
        <c:noMultiLvlLbl val="0"/>
      </c:catAx>
      <c:valAx>
        <c:axId val="2745846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2500877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5.170553024829862</c:v>
                </c:pt>
                <c:pt idx="1">
                  <c:v>3.5213807654300755</c:v>
                </c:pt>
                <c:pt idx="2">
                  <c:v>2.753237585543981</c:v>
                </c:pt>
                <c:pt idx="3">
                  <c:v>0.2054772712280338</c:v>
                </c:pt>
                <c:pt idx="4">
                  <c:v>1.1696258335037286</c:v>
                </c:pt>
                <c:pt idx="5">
                  <c:v>2.3417098149736533</c:v>
                </c:pt>
                <c:pt idx="6">
                  <c:v>5.136753720579866</c:v>
                </c:pt>
                <c:pt idx="7">
                  <c:v>7.41706550029702</c:v>
                </c:pt>
                <c:pt idx="8">
                  <c:v>5.885710921087185</c:v>
                </c:pt>
                <c:pt idx="9">
                  <c:v>6.391780909884709</c:v>
                </c:pt>
                <c:pt idx="10">
                  <c:v>0.5565992952631742</c:v>
                </c:pt>
                <c:pt idx="11">
                  <c:v>6.2387814596524125</c:v>
                </c:pt>
                <c:pt idx="12">
                  <c:v>8.888929836234794</c:v>
                </c:pt>
                <c:pt idx="13">
                  <c:v>10.31624446588126</c:v>
                </c:pt>
                <c:pt idx="14">
                  <c:v>6.4</c:v>
                </c:pt>
                <c:pt idx="15">
                  <c:v>4.717311379230954</c:v>
                </c:pt>
                <c:pt idx="16">
                  <c:v>7.18545209091717</c:v>
                </c:pt>
                <c:pt idx="17">
                  <c:v>-0.5319868187855642</c:v>
                </c:pt>
                <c:pt idx="18">
                  <c:v>4.955914184109056</c:v>
                </c:pt>
                <c:pt idx="19">
                  <c:v>11.140272380561328</c:v>
                </c:pt>
                <c:pt idx="20">
                  <c:v>6.9</c:v>
                </c:pt>
                <c:pt idx="21">
                  <c:v>9.198080142067331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4712615"/>
        <c:axId val="21086944"/>
      </c:lineChart>
      <c:catAx>
        <c:axId val="24712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086944"/>
        <c:crosses val="autoZero"/>
        <c:auto val="1"/>
        <c:lblOffset val="100"/>
        <c:noMultiLvlLbl val="0"/>
      </c:catAx>
      <c:valAx>
        <c:axId val="21086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47126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0.032</cdr:y>
    </cdr:from>
    <cdr:to>
      <cdr:x>0.93625</cdr:x>
      <cdr:y>0.0675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571876c-571b-475a-8b2a-a3c8d0c42164}" type="TxLink">
            <a:rPr lang="en-US" cap="none" sz="1000" b="1" i="0" u="none" baseline="0">
              <a:latin typeface="Arial"/>
              <a:ea typeface="Arial"/>
              <a:cs typeface="Arial"/>
            </a:rPr>
            <a:t>2012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0.02825</cdr:y>
    </cdr:from>
    <cdr:to>
      <cdr:x>0.89675</cdr:x>
      <cdr:y>0.064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3c21821-96d2-4ad6-a039-9dfc253a69ea}" type="TxLink">
            <a:rPr lang="en-US" cap="none" sz="1000" b="1" i="0" u="none" baseline="0">
              <a:latin typeface="Arial"/>
              <a:ea typeface="Arial"/>
              <a:cs typeface="Arial"/>
            </a:rPr>
            <a:t>2012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0.03525</cdr:y>
    </cdr:from>
    <cdr:to>
      <cdr:x>0.90175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b0793d1-2b99-428f-a134-ff3774d407d4}" type="TxLink">
            <a:rPr lang="en-US" cap="none" sz="1000" b="1" i="0" u="none" baseline="0">
              <a:latin typeface="Arial"/>
              <a:ea typeface="Arial"/>
              <a:cs typeface="Arial"/>
            </a:rPr>
            <a:t>2012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0.51175</cdr:y>
    </cdr:from>
    <cdr:to>
      <cdr:x>0.5205</cdr:x>
      <cdr:y>0.551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552825"/>
          <a:ext cx="123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fe2f69f-77b9-484d-b1b1-c5cdd0b289d5}" type="TxLink">
            <a:rPr lang="en-US" cap="none" sz="1000" b="0" i="0" u="none" baseline="0">
              <a:latin typeface="Arial"/>
              <a:ea typeface="Arial"/>
              <a:cs typeface="Arial"/>
            </a:rPr>
            <a:t>1.2 </a:t>
          </a:fld>
        </a:p>
      </cdr:txBody>
    </cdr:sp>
  </cdr:relSizeAnchor>
  <cdr:relSizeAnchor xmlns:cdr="http://schemas.openxmlformats.org/drawingml/2006/chartDrawing">
    <cdr:from>
      <cdr:x>0.7975</cdr:x>
      <cdr:y>0.026</cdr:y>
    </cdr:from>
    <cdr:to>
      <cdr:x>0.8865</cdr:x>
      <cdr:y>0.06025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2246a82-c62d-41d0-a0cc-af20c1d650f0}" type="TxLink">
            <a:rPr lang="en-US" cap="none" sz="1000" b="1" i="0" u="none" baseline="0">
              <a:latin typeface="Arial"/>
              <a:ea typeface="Arial"/>
              <a:cs typeface="Arial"/>
            </a:rPr>
            <a:t>2012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0.02375</cdr:y>
    </cdr:from>
    <cdr:to>
      <cdr:x>0.934</cdr:x>
      <cdr:y>0.05825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ff285c8-8e9e-4422-8fef-82272a2b249c}" type="TxLink">
            <a:rPr lang="en-US" cap="none" sz="1000" b="1" i="0" u="none" baseline="0">
              <a:latin typeface="Arial"/>
              <a:ea typeface="Arial"/>
              <a:cs typeface="Arial"/>
            </a:rPr>
            <a:t>2012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0.026</cdr:y>
    </cdr:from>
    <cdr:to>
      <cdr:x>0.91375</cdr:x>
      <cdr:y>0.06025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f41b5eb-fc71-4783-803c-293430ac30b9}" type="TxLink">
            <a:rPr lang="en-US" cap="none" sz="1000" b="1" i="0" u="none" baseline="0">
              <a:latin typeface="Arial"/>
              <a:ea typeface="Arial"/>
              <a:cs typeface="Arial"/>
            </a:rPr>
            <a:t>2012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0.02825</cdr:y>
    </cdr:from>
    <cdr:to>
      <cdr:x>0.90575</cdr:x>
      <cdr:y>0.064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f2aba23-d3fd-496c-a091-69da201f3b67}" type="TxLink">
            <a:rPr lang="en-US" cap="none" sz="1000" b="1" i="0" u="none" baseline="0">
              <a:latin typeface="Arial"/>
              <a:ea typeface="Arial"/>
              <a:cs typeface="Arial"/>
            </a:rPr>
            <a:t>2012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0.0375</cdr:y>
    </cdr:from>
    <cdr:to>
      <cdr:x>0.927</cdr:x>
      <cdr:y>0.07225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86dee94-e40a-4cdb-a4a5-fae61c9e01ff}" type="TxLink">
            <a:rPr lang="en-US" cap="none" sz="1000" b="1" i="0" u="none" baseline="0">
              <a:latin typeface="Arial"/>
              <a:ea typeface="Arial"/>
              <a:cs typeface="Arial"/>
            </a:rPr>
            <a:t>2012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7" activePane="bottomLeft" state="split"/>
      <selection pane="topLeft" activeCell="R2" sqref="R2"/>
      <selection pane="bottomLeft" activeCell="AA39" sqref="AA39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106</v>
      </c>
      <c r="R4" s="60">
        <v>2012</v>
      </c>
      <c r="S4" s="60"/>
      <c r="T4" s="7"/>
      <c r="U4" s="7"/>
      <c r="V4" s="60"/>
      <c r="W4" s="18"/>
      <c r="X4" s="102"/>
      <c r="Y4" s="99"/>
      <c r="Z4" s="148" t="s">
        <v>92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49"/>
      <c r="AA5" s="132"/>
      <c r="AB5" s="42" t="s">
        <v>85</v>
      </c>
    </row>
    <row r="6" spans="1:27" ht="13.5" customHeight="1" thickBot="1">
      <c r="A6" s="31" t="s">
        <v>0</v>
      </c>
      <c r="B6" s="143" t="s">
        <v>1</v>
      </c>
      <c r="C6" s="144"/>
      <c r="D6" s="144"/>
      <c r="E6" s="144"/>
      <c r="F6" s="145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102</v>
      </c>
      <c r="T6" s="31" t="s">
        <v>3</v>
      </c>
      <c r="U6" s="31" t="s">
        <v>3</v>
      </c>
      <c r="V6" s="31" t="s">
        <v>99</v>
      </c>
      <c r="W6" s="38" t="s">
        <v>61</v>
      </c>
      <c r="X6" s="104" t="s">
        <v>61</v>
      </c>
      <c r="Y6" s="146" t="s">
        <v>26</v>
      </c>
      <c r="Z6" s="149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2"/>
      <c r="U7" s="32" t="s">
        <v>46</v>
      </c>
      <c r="V7" s="37" t="s">
        <v>100</v>
      </c>
      <c r="W7" s="39" t="s">
        <v>62</v>
      </c>
      <c r="X7" s="105" t="s">
        <v>63</v>
      </c>
      <c r="Y7" s="146"/>
      <c r="Z7" s="149"/>
      <c r="AA7" s="132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2"/>
      <c r="T8" s="33" t="s">
        <v>18</v>
      </c>
      <c r="U8" s="33" t="s">
        <v>95</v>
      </c>
      <c r="V8" s="33" t="s">
        <v>101</v>
      </c>
      <c r="W8" s="33" t="s">
        <v>64</v>
      </c>
      <c r="X8" s="106" t="s">
        <v>64</v>
      </c>
      <c r="Y8" s="147"/>
      <c r="Z8" s="150"/>
      <c r="AA8" s="132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3">
        <v>1</v>
      </c>
      <c r="B9" s="64">
        <v>5.4</v>
      </c>
      <c r="C9" s="65">
        <v>5.3</v>
      </c>
      <c r="D9" s="65">
        <v>7.7</v>
      </c>
      <c r="E9" s="65">
        <v>4</v>
      </c>
      <c r="F9" s="66">
        <f aca="true" t="shared" si="0" ref="F9:F38">AVERAGE(D9:E9)</f>
        <v>5.85</v>
      </c>
      <c r="G9" s="67">
        <f>100*(AJ9/AH9)</f>
        <v>98.41557366858534</v>
      </c>
      <c r="H9" s="67">
        <f aca="true" t="shared" si="1" ref="H9:H38">AK9</f>
        <v>5.170553024829862</v>
      </c>
      <c r="I9" s="68">
        <v>2</v>
      </c>
      <c r="J9" s="66"/>
      <c r="K9" s="68">
        <v>7.7</v>
      </c>
      <c r="L9" s="65">
        <v>8</v>
      </c>
      <c r="M9" s="65"/>
      <c r="N9" s="65">
        <v>9.9</v>
      </c>
      <c r="O9" s="66">
        <v>11</v>
      </c>
      <c r="P9" s="69" t="s">
        <v>105</v>
      </c>
      <c r="Q9" s="70">
        <v>14</v>
      </c>
      <c r="R9" s="67">
        <v>1.2</v>
      </c>
      <c r="S9" s="67"/>
      <c r="T9" s="67">
        <v>0.9</v>
      </c>
      <c r="U9" s="67"/>
      <c r="V9" s="71">
        <v>8</v>
      </c>
      <c r="W9" s="64">
        <v>965.2</v>
      </c>
      <c r="X9" s="121">
        <f aca="true" t="shared" si="2" ref="X9:X38">W9+AU17</f>
        <v>975.3041409477736</v>
      </c>
      <c r="Y9" s="130">
        <v>0</v>
      </c>
      <c r="Z9" s="133">
        <v>0</v>
      </c>
      <c r="AA9" s="126">
        <v>0</v>
      </c>
      <c r="AB9">
        <f>IF((MAX($D$9:$D$39)=$D9),A9,0)</f>
        <v>0</v>
      </c>
      <c r="AC9">
        <f>IF((MIN($E$9:$E$39)=$E9),A9,0)</f>
        <v>0</v>
      </c>
      <c r="AD9">
        <f>IF((MIN($I$9:$I$39)=$I9),A9,0)</f>
        <v>0</v>
      </c>
      <c r="AE9">
        <f aca="true" t="shared" si="3" ref="AE9:AE34">IF((MAX($T$9:$T$39)=$T9),A9,0)</f>
        <v>0</v>
      </c>
      <c r="AF9">
        <f aca="true" t="shared" si="4" ref="AF9:AF39">IF((MAX($R$9:$R$39)=$R9),A9,0)</f>
        <v>0</v>
      </c>
      <c r="AH9">
        <f>6.107*EXP(17.38*(B9/(239+B9)))</f>
        <v>8.966052258259293</v>
      </c>
      <c r="AI9">
        <f aca="true" t="shared" si="5" ref="AI9:AI39">IF(W9&gt;=0,6.107*EXP(17.38*(C9/(239+C9))),6.107*EXP(22.44*(C9/(272.4+C9))))</f>
        <v>8.903891765391034</v>
      </c>
      <c r="AJ9">
        <f aca="true" t="shared" si="6" ref="AJ9:AJ39">IF(C9&gt;=0,AI9-(0.000799*1000*(B9-C9)),AI9-(0.00072*1000*(B9-C9)))</f>
        <v>8.823991765391034</v>
      </c>
      <c r="AK9">
        <f>239*LN(AJ9/6.107)/(17.38-LN(AJ9/6.107))</f>
        <v>5.170553024829862</v>
      </c>
      <c r="AM9">
        <f>COUNTIF(V9:V39,"&lt;1")</f>
        <v>8</v>
      </c>
      <c r="AN9">
        <f>COUNTIF(E9:E39,"&lt;0")</f>
        <v>7</v>
      </c>
      <c r="AO9">
        <f>COUNTIF(I9:I39,"&lt;0")</f>
        <v>15</v>
      </c>
      <c r="AP9">
        <f>COUNTIF(Q9:Q39,"&gt;=39")</f>
        <v>1</v>
      </c>
    </row>
    <row r="10" spans="1:37" ht="12.75">
      <c r="A10" s="72">
        <v>2</v>
      </c>
      <c r="B10" s="73">
        <v>5.9</v>
      </c>
      <c r="C10" s="74">
        <v>4.9</v>
      </c>
      <c r="D10" s="74">
        <v>8.8</v>
      </c>
      <c r="E10" s="74">
        <v>3</v>
      </c>
      <c r="F10" s="75">
        <f t="shared" si="0"/>
        <v>5.9</v>
      </c>
      <c r="G10" s="67">
        <f aca="true" t="shared" si="7" ref="G10:G38">100*(AJ10/AH10)</f>
        <v>84.67462596158207</v>
      </c>
      <c r="H10" s="76">
        <f t="shared" si="1"/>
        <v>3.5213807654300755</v>
      </c>
      <c r="I10" s="77">
        <v>-1</v>
      </c>
      <c r="J10" s="75"/>
      <c r="K10" s="77">
        <v>6</v>
      </c>
      <c r="L10" s="74">
        <v>6.7</v>
      </c>
      <c r="M10" s="74"/>
      <c r="N10" s="74">
        <v>9.7</v>
      </c>
      <c r="O10" s="75">
        <v>10.9</v>
      </c>
      <c r="P10" s="78" t="s">
        <v>104</v>
      </c>
      <c r="Q10" s="79">
        <v>15</v>
      </c>
      <c r="R10" s="76">
        <v>4.4</v>
      </c>
      <c r="S10" s="76"/>
      <c r="T10" s="76">
        <v>1.3</v>
      </c>
      <c r="U10" s="76"/>
      <c r="V10" s="80">
        <v>2</v>
      </c>
      <c r="W10" s="73">
        <v>976.9</v>
      </c>
      <c r="X10" s="121">
        <f t="shared" si="2"/>
        <v>987.1081860598938</v>
      </c>
      <c r="Y10" s="127">
        <v>0</v>
      </c>
      <c r="Z10" s="134">
        <v>0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9.282633897234025</v>
      </c>
      <c r="AI10">
        <f t="shared" si="5"/>
        <v>8.659035531865939</v>
      </c>
      <c r="AJ10">
        <f t="shared" si="6"/>
        <v>7.860035531865939</v>
      </c>
      <c r="AK10">
        <f aca="true" t="shared" si="12" ref="AK10:AK39">239*LN(AJ10/6.107)/(17.38-LN(AJ10/6.107))</f>
        <v>3.5213807654300755</v>
      </c>
    </row>
    <row r="11" spans="1:37" ht="12.75">
      <c r="A11" s="63">
        <v>3</v>
      </c>
      <c r="B11" s="64">
        <v>3.5</v>
      </c>
      <c r="C11" s="65">
        <v>3.2</v>
      </c>
      <c r="D11" s="65">
        <v>8.1</v>
      </c>
      <c r="E11" s="65">
        <v>0.5</v>
      </c>
      <c r="F11" s="66">
        <f t="shared" si="0"/>
        <v>4.3</v>
      </c>
      <c r="G11" s="67">
        <f t="shared" si="7"/>
        <v>94.84644090262549</v>
      </c>
      <c r="H11" s="67">
        <f t="shared" si="1"/>
        <v>2.753237585543981</v>
      </c>
      <c r="I11" s="68">
        <v>-3.1</v>
      </c>
      <c r="J11" s="66"/>
      <c r="K11" s="68">
        <v>5.7</v>
      </c>
      <c r="L11" s="65">
        <v>6</v>
      </c>
      <c r="M11" s="65"/>
      <c r="N11" s="65">
        <v>9.2</v>
      </c>
      <c r="O11" s="66">
        <v>10.7</v>
      </c>
      <c r="P11" s="69" t="s">
        <v>108</v>
      </c>
      <c r="Q11" s="70">
        <v>20</v>
      </c>
      <c r="R11" s="67">
        <v>2.4</v>
      </c>
      <c r="S11" s="67"/>
      <c r="T11" s="67">
        <v>0.2</v>
      </c>
      <c r="U11" s="67"/>
      <c r="V11" s="71">
        <v>8</v>
      </c>
      <c r="W11" s="64">
        <v>982.7</v>
      </c>
      <c r="X11" s="121">
        <f t="shared" si="2"/>
        <v>993.0584252732968</v>
      </c>
      <c r="Y11" s="127">
        <v>0</v>
      </c>
      <c r="Z11" s="134">
        <v>0</v>
      </c>
      <c r="AA11" s="127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7.848174955865539</v>
      </c>
      <c r="AI11">
        <f t="shared" si="5"/>
        <v>7.683414621449662</v>
      </c>
      <c r="AJ11">
        <f t="shared" si="6"/>
        <v>7.443714621449662</v>
      </c>
      <c r="AK11">
        <f t="shared" si="12"/>
        <v>2.753237585543981</v>
      </c>
    </row>
    <row r="12" spans="1:37" ht="12.75">
      <c r="A12" s="72">
        <v>4</v>
      </c>
      <c r="B12" s="73">
        <v>1.3</v>
      </c>
      <c r="C12" s="74">
        <v>0.9</v>
      </c>
      <c r="D12" s="74">
        <v>5.3</v>
      </c>
      <c r="E12" s="74">
        <v>0.2</v>
      </c>
      <c r="F12" s="75">
        <f t="shared" si="0"/>
        <v>2.75</v>
      </c>
      <c r="G12" s="67">
        <f t="shared" si="7"/>
        <v>92.39523910740665</v>
      </c>
      <c r="H12" s="76">
        <f t="shared" si="1"/>
        <v>0.2054772712280338</v>
      </c>
      <c r="I12" s="77">
        <v>-2.4</v>
      </c>
      <c r="J12" s="75"/>
      <c r="K12" s="77">
        <v>5.2</v>
      </c>
      <c r="L12" s="74">
        <v>5.8</v>
      </c>
      <c r="M12" s="74"/>
      <c r="N12" s="74">
        <v>8.8</v>
      </c>
      <c r="O12" s="75">
        <v>10.6</v>
      </c>
      <c r="P12" s="78" t="s">
        <v>109</v>
      </c>
      <c r="Q12" s="79">
        <v>12</v>
      </c>
      <c r="R12" s="76">
        <v>0</v>
      </c>
      <c r="S12" s="76"/>
      <c r="T12" s="76" t="s">
        <v>112</v>
      </c>
      <c r="U12" s="76"/>
      <c r="V12" s="80">
        <v>8</v>
      </c>
      <c r="W12" s="73">
        <v>982.4</v>
      </c>
      <c r="X12" s="121">
        <f t="shared" si="2"/>
        <v>992.83878555388</v>
      </c>
      <c r="Y12" s="127">
        <v>0</v>
      </c>
      <c r="Z12" s="134">
        <v>0</v>
      </c>
      <c r="AA12" s="127">
        <v>0</v>
      </c>
      <c r="AB12">
        <f t="shared" si="8"/>
        <v>0</v>
      </c>
      <c r="AC12">
        <f t="shared" si="9"/>
        <v>0</v>
      </c>
      <c r="AD12">
        <f t="shared" si="10"/>
        <v>0</v>
      </c>
      <c r="AE12">
        <f t="shared" si="3"/>
        <v>0</v>
      </c>
      <c r="AF12">
        <f t="shared" si="4"/>
        <v>0</v>
      </c>
      <c r="AH12">
        <f t="shared" si="11"/>
        <v>6.709066299714163</v>
      </c>
      <c r="AI12">
        <f t="shared" si="5"/>
        <v>6.5184578494953405</v>
      </c>
      <c r="AJ12">
        <f t="shared" si="6"/>
        <v>6.19885784949534</v>
      </c>
      <c r="AK12">
        <f t="shared" si="12"/>
        <v>0.2054772712280338</v>
      </c>
    </row>
    <row r="13" spans="1:37" ht="12.75">
      <c r="A13" s="63">
        <v>5</v>
      </c>
      <c r="B13" s="64">
        <v>1.7</v>
      </c>
      <c r="C13" s="65">
        <v>1.5</v>
      </c>
      <c r="D13" s="65">
        <v>10.2</v>
      </c>
      <c r="E13" s="65">
        <v>-1.4</v>
      </c>
      <c r="F13" s="66">
        <f t="shared" si="0"/>
        <v>4.3999999999999995</v>
      </c>
      <c r="G13" s="67">
        <f t="shared" si="7"/>
        <v>96.26073088980786</v>
      </c>
      <c r="H13" s="67">
        <f t="shared" si="1"/>
        <v>1.1696258335037286</v>
      </c>
      <c r="I13" s="68">
        <v>-4.3</v>
      </c>
      <c r="J13" s="66"/>
      <c r="K13" s="68">
        <v>3.9</v>
      </c>
      <c r="L13" s="65">
        <v>4.9</v>
      </c>
      <c r="M13" s="65"/>
      <c r="N13" s="65">
        <v>8.7</v>
      </c>
      <c r="O13" s="66">
        <v>10.3</v>
      </c>
      <c r="P13" s="69" t="s">
        <v>109</v>
      </c>
      <c r="Q13" s="70">
        <v>14</v>
      </c>
      <c r="R13" s="67">
        <v>5.8</v>
      </c>
      <c r="S13" s="67"/>
      <c r="T13" s="67">
        <v>0</v>
      </c>
      <c r="U13" s="67"/>
      <c r="V13" s="71">
        <v>0</v>
      </c>
      <c r="W13" s="64">
        <v>996.2</v>
      </c>
      <c r="X13" s="121">
        <f t="shared" si="2"/>
        <v>1006.7699208838497</v>
      </c>
      <c r="Y13" s="127">
        <v>0</v>
      </c>
      <c r="Z13" s="134">
        <v>0</v>
      </c>
      <c r="AA13" s="127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5</v>
      </c>
      <c r="AH13">
        <f t="shared" si="11"/>
        <v>6.90458694814902</v>
      </c>
      <c r="AI13">
        <f t="shared" si="5"/>
        <v>6.8062058612105245</v>
      </c>
      <c r="AJ13">
        <f t="shared" si="6"/>
        <v>6.646405861210525</v>
      </c>
      <c r="AK13">
        <f t="shared" si="12"/>
        <v>1.1696258335037286</v>
      </c>
    </row>
    <row r="14" spans="1:37" ht="12.75">
      <c r="A14" s="72">
        <v>6</v>
      </c>
      <c r="B14" s="73">
        <v>3.1</v>
      </c>
      <c r="C14" s="74">
        <v>2.8</v>
      </c>
      <c r="D14" s="74">
        <v>9.7</v>
      </c>
      <c r="E14" s="74">
        <v>-1.9</v>
      </c>
      <c r="F14" s="75">
        <f t="shared" si="0"/>
        <v>3.8999999999999995</v>
      </c>
      <c r="G14" s="67">
        <f t="shared" si="7"/>
        <v>94.75189551308758</v>
      </c>
      <c r="H14" s="76">
        <f t="shared" si="1"/>
        <v>2.3417098149736533</v>
      </c>
      <c r="I14" s="77">
        <v>-4.8</v>
      </c>
      <c r="J14" s="75"/>
      <c r="K14" s="77">
        <v>3.3</v>
      </c>
      <c r="L14" s="74">
        <v>4</v>
      </c>
      <c r="M14" s="74"/>
      <c r="N14" s="74">
        <v>8.3</v>
      </c>
      <c r="O14" s="75">
        <v>10.1</v>
      </c>
      <c r="P14" s="78" t="s">
        <v>113</v>
      </c>
      <c r="Q14" s="79">
        <v>18</v>
      </c>
      <c r="R14" s="76">
        <v>0.3</v>
      </c>
      <c r="S14" s="76"/>
      <c r="T14" s="76">
        <v>0.9</v>
      </c>
      <c r="U14" s="76"/>
      <c r="V14" s="80">
        <v>7</v>
      </c>
      <c r="W14" s="73">
        <v>1008.3</v>
      </c>
      <c r="X14" s="121">
        <f t="shared" si="2"/>
        <v>1018.9437533526458</v>
      </c>
      <c r="Y14" s="127">
        <v>0</v>
      </c>
      <c r="Z14" s="134">
        <v>0</v>
      </c>
      <c r="AA14" s="127">
        <v>0</v>
      </c>
      <c r="AB14">
        <f t="shared" si="8"/>
        <v>0</v>
      </c>
      <c r="AC14">
        <f t="shared" si="9"/>
        <v>0</v>
      </c>
      <c r="AD14">
        <f t="shared" si="10"/>
        <v>0</v>
      </c>
      <c r="AE14">
        <f t="shared" si="3"/>
        <v>0</v>
      </c>
      <c r="AF14">
        <f t="shared" si="4"/>
        <v>0</v>
      </c>
      <c r="AH14">
        <f t="shared" si="11"/>
        <v>7.629177622521602</v>
      </c>
      <c r="AI14">
        <f t="shared" si="5"/>
        <v>7.468490409399528</v>
      </c>
      <c r="AJ14">
        <f t="shared" si="6"/>
        <v>7.228790409399528</v>
      </c>
      <c r="AK14">
        <f t="shared" si="12"/>
        <v>2.3417098149736533</v>
      </c>
    </row>
    <row r="15" spans="1:37" ht="12.75">
      <c r="A15" s="63">
        <v>7</v>
      </c>
      <c r="B15" s="64">
        <v>6.5</v>
      </c>
      <c r="C15" s="65">
        <v>5.9</v>
      </c>
      <c r="D15" s="65">
        <v>10.4</v>
      </c>
      <c r="E15" s="65">
        <v>3.1</v>
      </c>
      <c r="F15" s="66">
        <f t="shared" si="0"/>
        <v>6.75</v>
      </c>
      <c r="G15" s="67">
        <f t="shared" si="7"/>
        <v>90.984643657088</v>
      </c>
      <c r="H15" s="67">
        <f t="shared" si="1"/>
        <v>5.136753720579866</v>
      </c>
      <c r="I15" s="68">
        <v>-0.8</v>
      </c>
      <c r="J15" s="66"/>
      <c r="K15" s="68">
        <v>6.9</v>
      </c>
      <c r="L15" s="65">
        <v>6.5</v>
      </c>
      <c r="M15" s="65"/>
      <c r="N15" s="65">
        <v>8.4</v>
      </c>
      <c r="O15" s="66">
        <v>9.9</v>
      </c>
      <c r="P15" s="69" t="s">
        <v>114</v>
      </c>
      <c r="Q15" s="70">
        <v>20</v>
      </c>
      <c r="R15" s="67">
        <v>1.5</v>
      </c>
      <c r="S15" s="67"/>
      <c r="T15" s="67" t="s">
        <v>112</v>
      </c>
      <c r="U15" s="67"/>
      <c r="V15" s="71">
        <v>0</v>
      </c>
      <c r="W15" s="64">
        <v>1013.7</v>
      </c>
      <c r="X15" s="121">
        <f t="shared" si="2"/>
        <v>1024.2698649527897</v>
      </c>
      <c r="Y15" s="127">
        <v>0</v>
      </c>
      <c r="Z15" s="134">
        <v>0</v>
      </c>
      <c r="AA15" s="127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9.67551615678414</v>
      </c>
      <c r="AI15">
        <f t="shared" si="5"/>
        <v>9.282633897234025</v>
      </c>
      <c r="AJ15">
        <f t="shared" si="6"/>
        <v>8.803233897234024</v>
      </c>
      <c r="AK15">
        <f t="shared" si="12"/>
        <v>5.136753720579866</v>
      </c>
    </row>
    <row r="16" spans="1:37" ht="12.75">
      <c r="A16" s="72">
        <v>8</v>
      </c>
      <c r="B16" s="73">
        <v>9.1</v>
      </c>
      <c r="C16" s="74">
        <v>8.3</v>
      </c>
      <c r="D16" s="74">
        <v>11</v>
      </c>
      <c r="E16" s="74">
        <v>6.5</v>
      </c>
      <c r="F16" s="75">
        <f t="shared" si="0"/>
        <v>8.75</v>
      </c>
      <c r="G16" s="67">
        <f t="shared" si="7"/>
        <v>89.19501419371606</v>
      </c>
      <c r="H16" s="76">
        <f t="shared" si="1"/>
        <v>7.41706550029702</v>
      </c>
      <c r="I16" s="77">
        <v>5.1</v>
      </c>
      <c r="J16" s="75"/>
      <c r="K16" s="77">
        <v>7.4</v>
      </c>
      <c r="L16" s="74">
        <v>7.9</v>
      </c>
      <c r="M16" s="74"/>
      <c r="N16" s="74">
        <v>8.7</v>
      </c>
      <c r="O16" s="75">
        <v>9.9</v>
      </c>
      <c r="P16" s="78" t="s">
        <v>115</v>
      </c>
      <c r="Q16" s="79">
        <v>18</v>
      </c>
      <c r="R16" s="76">
        <v>0.5</v>
      </c>
      <c r="S16" s="76"/>
      <c r="T16" s="76">
        <v>0</v>
      </c>
      <c r="U16" s="76"/>
      <c r="V16" s="80">
        <v>4</v>
      </c>
      <c r="W16" s="73">
        <v>1006.6</v>
      </c>
      <c r="X16" s="121">
        <f t="shared" si="2"/>
        <v>1016.9985662461706</v>
      </c>
      <c r="Y16" s="127">
        <v>0</v>
      </c>
      <c r="Z16" s="134">
        <v>0</v>
      </c>
      <c r="AA16" s="127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0</v>
      </c>
      <c r="AH16">
        <f t="shared" si="11"/>
        <v>11.552622622814317</v>
      </c>
      <c r="AI16">
        <f t="shared" si="5"/>
        <v>10.943563388165682</v>
      </c>
      <c r="AJ16">
        <f t="shared" si="6"/>
        <v>10.304363388165683</v>
      </c>
      <c r="AK16">
        <f t="shared" si="12"/>
        <v>7.41706550029702</v>
      </c>
    </row>
    <row r="17" spans="1:47" ht="12.75">
      <c r="A17" s="63">
        <v>9</v>
      </c>
      <c r="B17" s="64">
        <v>8.3</v>
      </c>
      <c r="C17" s="65">
        <v>7.2</v>
      </c>
      <c r="D17" s="65">
        <v>10.1</v>
      </c>
      <c r="E17" s="65">
        <v>7.8</v>
      </c>
      <c r="F17" s="66">
        <f t="shared" si="0"/>
        <v>8.95</v>
      </c>
      <c r="G17" s="67">
        <f t="shared" si="7"/>
        <v>84.73886587481671</v>
      </c>
      <c r="H17" s="67">
        <f t="shared" si="1"/>
        <v>5.885710921087185</v>
      </c>
      <c r="I17" s="68">
        <v>4.8</v>
      </c>
      <c r="J17" s="66"/>
      <c r="K17" s="68">
        <v>7.8</v>
      </c>
      <c r="L17" s="65">
        <v>8.1</v>
      </c>
      <c r="M17" s="65"/>
      <c r="N17" s="65">
        <v>9</v>
      </c>
      <c r="O17" s="66">
        <v>9.9</v>
      </c>
      <c r="P17" s="69" t="s">
        <v>114</v>
      </c>
      <c r="Q17" s="70">
        <v>20</v>
      </c>
      <c r="R17" s="67">
        <v>0</v>
      </c>
      <c r="S17" s="67"/>
      <c r="T17" s="67">
        <v>1.8</v>
      </c>
      <c r="U17" s="67"/>
      <c r="V17" s="71">
        <v>8</v>
      </c>
      <c r="W17" s="64">
        <v>998.4</v>
      </c>
      <c r="X17" s="121">
        <f t="shared" si="2"/>
        <v>1008.743350566899</v>
      </c>
      <c r="Y17" s="127">
        <v>0</v>
      </c>
      <c r="Z17" s="134">
        <v>0</v>
      </c>
      <c r="AA17" s="127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10.943563388165682</v>
      </c>
      <c r="AI17">
        <f t="shared" si="5"/>
        <v>10.152351501423265</v>
      </c>
      <c r="AJ17">
        <f t="shared" si="6"/>
        <v>9.273451501423265</v>
      </c>
      <c r="AK17">
        <f t="shared" si="12"/>
        <v>5.885710921087185</v>
      </c>
      <c r="AU17">
        <f aca="true" t="shared" si="13" ref="AU17:AU47">W9*(10^(85/(18429.1+(67.53*B9)+(0.003*31)))-1)</f>
        <v>10.104140947773589</v>
      </c>
    </row>
    <row r="18" spans="1:47" ht="12.75">
      <c r="A18" s="72">
        <v>10</v>
      </c>
      <c r="B18" s="73">
        <v>7.7</v>
      </c>
      <c r="C18" s="74">
        <v>7.1</v>
      </c>
      <c r="D18" s="74">
        <v>9.6</v>
      </c>
      <c r="E18" s="74">
        <v>7</v>
      </c>
      <c r="F18" s="75">
        <f t="shared" si="0"/>
        <v>8.3</v>
      </c>
      <c r="G18" s="67">
        <f t="shared" si="7"/>
        <v>91.41475038070223</v>
      </c>
      <c r="H18" s="76">
        <f t="shared" si="1"/>
        <v>6.391780909884709</v>
      </c>
      <c r="I18" s="77">
        <v>5.1</v>
      </c>
      <c r="J18" s="75"/>
      <c r="K18" s="77">
        <v>8.3</v>
      </c>
      <c r="L18" s="74">
        <v>8.8</v>
      </c>
      <c r="M18" s="74"/>
      <c r="N18" s="74">
        <v>9</v>
      </c>
      <c r="O18" s="75">
        <v>10</v>
      </c>
      <c r="P18" s="78" t="s">
        <v>116</v>
      </c>
      <c r="Q18" s="79">
        <v>8</v>
      </c>
      <c r="R18" s="76">
        <v>1.3</v>
      </c>
      <c r="S18" s="76"/>
      <c r="T18" s="76">
        <v>0</v>
      </c>
      <c r="U18" s="76"/>
      <c r="V18" s="80">
        <v>8</v>
      </c>
      <c r="W18" s="73">
        <v>985.5</v>
      </c>
      <c r="X18" s="121">
        <f t="shared" si="2"/>
        <v>995.7316513207761</v>
      </c>
      <c r="Y18" s="127">
        <v>0</v>
      </c>
      <c r="Z18" s="134">
        <v>0</v>
      </c>
      <c r="AA18" s="127">
        <v>0</v>
      </c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10.5055132003167</v>
      </c>
      <c r="AI18">
        <f t="shared" si="5"/>
        <v>10.082988668281233</v>
      </c>
      <c r="AJ18">
        <f t="shared" si="6"/>
        <v>9.603588668281233</v>
      </c>
      <c r="AK18">
        <f t="shared" si="12"/>
        <v>6.391780909884709</v>
      </c>
      <c r="AU18">
        <f t="shared" si="13"/>
        <v>10.208186059893826</v>
      </c>
    </row>
    <row r="19" spans="1:47" ht="12.75">
      <c r="A19" s="63">
        <v>11</v>
      </c>
      <c r="B19" s="64">
        <v>1.1</v>
      </c>
      <c r="C19" s="65">
        <v>0.9</v>
      </c>
      <c r="D19" s="65">
        <v>10.3</v>
      </c>
      <c r="E19" s="65">
        <v>-0.9</v>
      </c>
      <c r="F19" s="66">
        <f t="shared" si="0"/>
        <v>4.7</v>
      </c>
      <c r="G19" s="67">
        <f t="shared" si="7"/>
        <v>96.15165654953445</v>
      </c>
      <c r="H19" s="67">
        <f t="shared" si="1"/>
        <v>0.5565992952631742</v>
      </c>
      <c r="I19" s="68">
        <v>-3.9</v>
      </c>
      <c r="J19" s="66"/>
      <c r="K19" s="68">
        <v>4.4</v>
      </c>
      <c r="L19" s="65">
        <v>5</v>
      </c>
      <c r="M19" s="65"/>
      <c r="N19" s="65">
        <v>9</v>
      </c>
      <c r="O19" s="66">
        <v>10</v>
      </c>
      <c r="P19" s="69" t="s">
        <v>116</v>
      </c>
      <c r="Q19" s="70">
        <v>9</v>
      </c>
      <c r="R19" s="67">
        <v>5.8</v>
      </c>
      <c r="S19" s="67"/>
      <c r="T19" s="67" t="s">
        <v>112</v>
      </c>
      <c r="U19" s="67"/>
      <c r="V19" s="71">
        <v>0</v>
      </c>
      <c r="W19" s="64">
        <v>999.4</v>
      </c>
      <c r="X19" s="121">
        <f t="shared" si="2"/>
        <v>1010.0272165116207</v>
      </c>
      <c r="Y19" s="127">
        <v>0</v>
      </c>
      <c r="Z19" s="134">
        <v>0</v>
      </c>
      <c r="AA19" s="127">
        <v>0</v>
      </c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11</v>
      </c>
      <c r="AH19">
        <f t="shared" si="11"/>
        <v>6.613154757473732</v>
      </c>
      <c r="AI19">
        <f t="shared" si="5"/>
        <v>6.5184578494953405</v>
      </c>
      <c r="AJ19">
        <f t="shared" si="6"/>
        <v>6.358657849495341</v>
      </c>
      <c r="AK19">
        <f t="shared" si="12"/>
        <v>0.5565992952631742</v>
      </c>
      <c r="AU19">
        <f t="shared" si="13"/>
        <v>10.358425273296751</v>
      </c>
    </row>
    <row r="20" spans="1:47" ht="12.75">
      <c r="A20" s="72">
        <v>12</v>
      </c>
      <c r="B20" s="73">
        <v>6.9</v>
      </c>
      <c r="C20" s="74">
        <v>6.6</v>
      </c>
      <c r="D20" s="74">
        <v>11.1</v>
      </c>
      <c r="E20" s="74">
        <v>1.1</v>
      </c>
      <c r="F20" s="75">
        <f t="shared" si="0"/>
        <v>6.1</v>
      </c>
      <c r="G20" s="67">
        <f t="shared" si="7"/>
        <v>95.5476173193195</v>
      </c>
      <c r="H20" s="76">
        <f t="shared" si="1"/>
        <v>6.2387814596524125</v>
      </c>
      <c r="I20" s="77">
        <v>-1.2</v>
      </c>
      <c r="J20" s="75"/>
      <c r="K20" s="77">
        <v>6.2</v>
      </c>
      <c r="L20" s="74">
        <v>6.7</v>
      </c>
      <c r="M20" s="74"/>
      <c r="N20" s="74">
        <v>8.7</v>
      </c>
      <c r="O20" s="75">
        <v>9.9</v>
      </c>
      <c r="P20" s="78" t="s">
        <v>117</v>
      </c>
      <c r="Q20" s="79">
        <v>18</v>
      </c>
      <c r="R20" s="76">
        <v>0</v>
      </c>
      <c r="S20" s="76"/>
      <c r="T20" s="76">
        <v>3</v>
      </c>
      <c r="U20" s="76"/>
      <c r="V20" s="80">
        <v>8</v>
      </c>
      <c r="W20" s="73">
        <v>1007.8</v>
      </c>
      <c r="X20" s="121">
        <f t="shared" si="2"/>
        <v>1018.2932451791247</v>
      </c>
      <c r="Y20" s="127">
        <v>0</v>
      </c>
      <c r="Z20" s="134">
        <v>0</v>
      </c>
      <c r="AA20" s="127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9.945515096468517</v>
      </c>
      <c r="AI20">
        <f t="shared" si="5"/>
        <v>9.742402704808889</v>
      </c>
      <c r="AJ20">
        <f t="shared" si="6"/>
        <v>9.502702704808888</v>
      </c>
      <c r="AK20">
        <f t="shared" si="12"/>
        <v>6.2387814596524125</v>
      </c>
      <c r="AU20">
        <f t="shared" si="13"/>
        <v>10.438785553880061</v>
      </c>
    </row>
    <row r="21" spans="1:47" ht="12.75">
      <c r="A21" s="63">
        <v>13</v>
      </c>
      <c r="B21" s="64">
        <v>9.9</v>
      </c>
      <c r="C21" s="65">
        <v>9.4</v>
      </c>
      <c r="D21" s="65">
        <v>13.3</v>
      </c>
      <c r="E21" s="65">
        <v>6.9</v>
      </c>
      <c r="F21" s="66">
        <f t="shared" si="0"/>
        <v>10.100000000000001</v>
      </c>
      <c r="G21" s="67">
        <f t="shared" si="7"/>
        <v>93.41963678988499</v>
      </c>
      <c r="H21" s="67">
        <f t="shared" si="1"/>
        <v>8.888929836234794</v>
      </c>
      <c r="I21" s="68">
        <v>6.7</v>
      </c>
      <c r="J21" s="66"/>
      <c r="K21" s="68">
        <v>8.1</v>
      </c>
      <c r="L21" s="65">
        <v>8.4</v>
      </c>
      <c r="M21" s="65"/>
      <c r="N21" s="65">
        <v>8.9</v>
      </c>
      <c r="O21" s="66">
        <v>9.9</v>
      </c>
      <c r="P21" s="69" t="s">
        <v>119</v>
      </c>
      <c r="Q21" s="70">
        <v>16</v>
      </c>
      <c r="R21" s="67">
        <v>0</v>
      </c>
      <c r="S21" s="67"/>
      <c r="T21" s="67" t="s">
        <v>112</v>
      </c>
      <c r="U21" s="67"/>
      <c r="V21" s="71">
        <v>7</v>
      </c>
      <c r="W21" s="64">
        <v>1013.7</v>
      </c>
      <c r="X21" s="121">
        <f t="shared" si="2"/>
        <v>1024.1421368162407</v>
      </c>
      <c r="Y21" s="127">
        <v>0</v>
      </c>
      <c r="Z21" s="134">
        <v>0</v>
      </c>
      <c r="AA21" s="127">
        <v>0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12.191333479931261</v>
      </c>
      <c r="AI21">
        <f t="shared" si="5"/>
        <v>11.78859945679543</v>
      </c>
      <c r="AJ21">
        <f t="shared" si="6"/>
        <v>11.38909945679543</v>
      </c>
      <c r="AK21">
        <f t="shared" si="12"/>
        <v>8.888929836234794</v>
      </c>
      <c r="AU21">
        <f t="shared" si="13"/>
        <v>10.569920883849651</v>
      </c>
    </row>
    <row r="22" spans="1:47" ht="12.75">
      <c r="A22" s="72">
        <v>14</v>
      </c>
      <c r="B22" s="73">
        <v>10.9</v>
      </c>
      <c r="C22" s="74">
        <v>10.6</v>
      </c>
      <c r="D22" s="74">
        <v>12.7</v>
      </c>
      <c r="E22" s="74">
        <v>9.4</v>
      </c>
      <c r="F22" s="75">
        <f t="shared" si="0"/>
        <v>11.05</v>
      </c>
      <c r="G22" s="67">
        <f t="shared" si="7"/>
        <v>96.18285987170808</v>
      </c>
      <c r="H22" s="76">
        <f t="shared" si="1"/>
        <v>10.31624446588126</v>
      </c>
      <c r="I22" s="77">
        <v>8.7</v>
      </c>
      <c r="J22" s="75"/>
      <c r="K22" s="77">
        <v>9.3</v>
      </c>
      <c r="L22" s="74">
        <v>9.5</v>
      </c>
      <c r="M22" s="74"/>
      <c r="N22" s="74">
        <v>9.3</v>
      </c>
      <c r="O22" s="75">
        <v>9.9</v>
      </c>
      <c r="P22" s="78" t="s">
        <v>118</v>
      </c>
      <c r="Q22" s="79">
        <v>11</v>
      </c>
      <c r="R22" s="76">
        <v>0</v>
      </c>
      <c r="S22" s="76"/>
      <c r="T22" s="76" t="s">
        <v>112</v>
      </c>
      <c r="U22" s="76"/>
      <c r="V22" s="80">
        <v>8</v>
      </c>
      <c r="W22" s="73">
        <v>1016.4</v>
      </c>
      <c r="X22" s="121">
        <f t="shared" si="2"/>
        <v>1026.8328693527765</v>
      </c>
      <c r="Y22" s="127">
        <v>0</v>
      </c>
      <c r="Z22" s="134">
        <v>0</v>
      </c>
      <c r="AA22" s="127"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13.033290380870474</v>
      </c>
      <c r="AI22">
        <f t="shared" si="5"/>
        <v>12.775491423705457</v>
      </c>
      <c r="AJ22">
        <f t="shared" si="6"/>
        <v>12.535791423705456</v>
      </c>
      <c r="AK22">
        <f t="shared" si="12"/>
        <v>10.31624446588126</v>
      </c>
      <c r="AU22">
        <f t="shared" si="13"/>
        <v>10.643753352645883</v>
      </c>
    </row>
    <row r="23" spans="1:47" ht="12.75">
      <c r="A23" s="63">
        <v>15</v>
      </c>
      <c r="B23" s="64">
        <v>6.4</v>
      </c>
      <c r="C23" s="65">
        <v>6.4</v>
      </c>
      <c r="D23" s="65">
        <v>7.7</v>
      </c>
      <c r="E23" s="65">
        <v>4.8</v>
      </c>
      <c r="F23" s="66">
        <f t="shared" si="0"/>
        <v>6.25</v>
      </c>
      <c r="G23" s="67">
        <f t="shared" si="7"/>
        <v>100</v>
      </c>
      <c r="H23" s="67">
        <f t="shared" si="1"/>
        <v>6.4</v>
      </c>
      <c r="I23" s="68">
        <v>1.2</v>
      </c>
      <c r="J23" s="66"/>
      <c r="K23" s="68">
        <v>8.1</v>
      </c>
      <c r="L23" s="65">
        <v>8.4</v>
      </c>
      <c r="M23" s="65"/>
      <c r="N23" s="65">
        <v>9.6</v>
      </c>
      <c r="O23" s="66">
        <v>10.1</v>
      </c>
      <c r="P23" s="69" t="s">
        <v>130</v>
      </c>
      <c r="Q23" s="70">
        <v>9</v>
      </c>
      <c r="R23" s="67">
        <v>0</v>
      </c>
      <c r="S23" s="67"/>
      <c r="T23" s="67" t="s">
        <v>112</v>
      </c>
      <c r="U23" s="67"/>
      <c r="V23" s="71">
        <v>9</v>
      </c>
      <c r="W23" s="64">
        <v>1013.4</v>
      </c>
      <c r="X23" s="121">
        <f t="shared" si="2"/>
        <v>1023.9705397526265</v>
      </c>
      <c r="Y23" s="127">
        <v>0</v>
      </c>
      <c r="Z23" s="134">
        <v>0</v>
      </c>
      <c r="AA23" s="127">
        <v>0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9.609034867330614</v>
      </c>
      <c r="AI23">
        <f t="shared" si="5"/>
        <v>9.609034867330614</v>
      </c>
      <c r="AJ23">
        <f t="shared" si="6"/>
        <v>9.609034867330614</v>
      </c>
      <c r="AK23">
        <f t="shared" si="12"/>
        <v>6.4</v>
      </c>
      <c r="AU23">
        <f t="shared" si="13"/>
        <v>10.569864952789631</v>
      </c>
    </row>
    <row r="24" spans="1:47" ht="12.75">
      <c r="A24" s="72">
        <v>16</v>
      </c>
      <c r="B24" s="73">
        <v>6.1</v>
      </c>
      <c r="C24" s="74">
        <v>5.5</v>
      </c>
      <c r="D24" s="74">
        <v>7.9</v>
      </c>
      <c r="E24" s="74">
        <v>4.2</v>
      </c>
      <c r="F24" s="75">
        <f t="shared" si="0"/>
        <v>6.050000000000001</v>
      </c>
      <c r="G24" s="67">
        <f t="shared" si="7"/>
        <v>90.83291475740884</v>
      </c>
      <c r="H24" s="76">
        <f t="shared" si="1"/>
        <v>4.717311379230954</v>
      </c>
      <c r="I24" s="77">
        <v>3.6</v>
      </c>
      <c r="J24" s="75"/>
      <c r="K24" s="77">
        <v>7.5</v>
      </c>
      <c r="L24" s="74">
        <v>7.9</v>
      </c>
      <c r="M24" s="74"/>
      <c r="N24" s="74">
        <v>9.4</v>
      </c>
      <c r="O24" s="75">
        <v>10.1</v>
      </c>
      <c r="P24" s="78" t="s">
        <v>131</v>
      </c>
      <c r="Q24" s="79">
        <v>10</v>
      </c>
      <c r="R24" s="76">
        <v>0</v>
      </c>
      <c r="S24" s="76"/>
      <c r="T24" s="76">
        <v>9.4</v>
      </c>
      <c r="U24" s="76"/>
      <c r="V24" s="80">
        <v>8</v>
      </c>
      <c r="W24" s="73">
        <v>1005.1</v>
      </c>
      <c r="X24" s="121">
        <f t="shared" si="2"/>
        <v>1015.595295961946</v>
      </c>
      <c r="Y24" s="127">
        <v>0</v>
      </c>
      <c r="Z24" s="134">
        <v>0</v>
      </c>
      <c r="AA24" s="127">
        <v>0</v>
      </c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9.41200153393066</v>
      </c>
      <c r="AI24">
        <f t="shared" si="5"/>
        <v>9.028595330281249</v>
      </c>
      <c r="AJ24">
        <f t="shared" si="6"/>
        <v>8.549195330281249</v>
      </c>
      <c r="AK24">
        <f t="shared" si="12"/>
        <v>4.717311379230954</v>
      </c>
      <c r="AU24">
        <f t="shared" si="13"/>
        <v>10.398566246170617</v>
      </c>
    </row>
    <row r="25" spans="1:47" ht="12.75">
      <c r="A25" s="63">
        <v>17</v>
      </c>
      <c r="B25" s="64">
        <v>7.4</v>
      </c>
      <c r="C25" s="65">
        <v>7.3</v>
      </c>
      <c r="D25" s="65">
        <v>8.5</v>
      </c>
      <c r="E25" s="65">
        <v>6.2</v>
      </c>
      <c r="F25" s="66">
        <f t="shared" si="0"/>
        <v>7.35</v>
      </c>
      <c r="G25" s="67">
        <f t="shared" si="7"/>
        <v>98.54158024792386</v>
      </c>
      <c r="H25" s="67">
        <f t="shared" si="1"/>
        <v>7.18545209091717</v>
      </c>
      <c r="I25" s="68">
        <v>6.6</v>
      </c>
      <c r="J25" s="66"/>
      <c r="K25" s="68">
        <v>8.2</v>
      </c>
      <c r="L25" s="65">
        <v>8.6</v>
      </c>
      <c r="M25" s="65"/>
      <c r="N25" s="65">
        <v>9.4</v>
      </c>
      <c r="O25" s="66">
        <v>10.1</v>
      </c>
      <c r="P25" s="69" t="s">
        <v>132</v>
      </c>
      <c r="Q25" s="70">
        <v>12</v>
      </c>
      <c r="R25" s="67">
        <v>0.1</v>
      </c>
      <c r="S25" s="67"/>
      <c r="T25" s="67" t="s">
        <v>112</v>
      </c>
      <c r="U25" s="67"/>
      <c r="V25" s="71">
        <v>8</v>
      </c>
      <c r="W25" s="64">
        <v>997</v>
      </c>
      <c r="X25" s="121">
        <f t="shared" si="2"/>
        <v>1007.362182301518</v>
      </c>
      <c r="Y25" s="127">
        <v>0</v>
      </c>
      <c r="Z25" s="134">
        <v>0</v>
      </c>
      <c r="AA25" s="127">
        <v>0</v>
      </c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10.29234011027384</v>
      </c>
      <c r="AI25">
        <f t="shared" si="5"/>
        <v>10.22213458915475</v>
      </c>
      <c r="AJ25">
        <f t="shared" si="6"/>
        <v>10.14223458915475</v>
      </c>
      <c r="AK25">
        <f t="shared" si="12"/>
        <v>7.18545209091717</v>
      </c>
      <c r="AU25">
        <f t="shared" si="13"/>
        <v>10.343350566899044</v>
      </c>
    </row>
    <row r="26" spans="1:47" ht="12.75">
      <c r="A26" s="72">
        <v>18</v>
      </c>
      <c r="B26" s="73">
        <v>0</v>
      </c>
      <c r="C26" s="74">
        <v>-0.2</v>
      </c>
      <c r="D26" s="74">
        <v>7.7</v>
      </c>
      <c r="E26" s="74">
        <v>-1.1</v>
      </c>
      <c r="F26" s="75">
        <f t="shared" si="0"/>
        <v>3.3</v>
      </c>
      <c r="G26" s="67">
        <f t="shared" si="7"/>
        <v>96.19698152266052</v>
      </c>
      <c r="H26" s="76">
        <f t="shared" si="1"/>
        <v>-0.5319868187855642</v>
      </c>
      <c r="I26" s="77">
        <v>-5</v>
      </c>
      <c r="J26" s="75"/>
      <c r="K26" s="77">
        <v>4.3</v>
      </c>
      <c r="L26" s="74">
        <v>5</v>
      </c>
      <c r="M26" s="74"/>
      <c r="N26" s="74">
        <v>9.1</v>
      </c>
      <c r="O26" s="75">
        <v>10.1</v>
      </c>
      <c r="P26" s="78" t="s">
        <v>118</v>
      </c>
      <c r="Q26" s="79">
        <v>14</v>
      </c>
      <c r="R26" s="76">
        <v>4.8</v>
      </c>
      <c r="S26" s="76"/>
      <c r="T26" s="76">
        <v>0</v>
      </c>
      <c r="U26" s="76"/>
      <c r="V26" s="80">
        <v>0</v>
      </c>
      <c r="W26" s="73">
        <v>1004.2</v>
      </c>
      <c r="X26" s="121">
        <f t="shared" si="2"/>
        <v>1014.9215278474999</v>
      </c>
      <c r="Y26" s="127">
        <v>0</v>
      </c>
      <c r="Z26" s="134">
        <v>0</v>
      </c>
      <c r="AA26" s="127">
        <v>0</v>
      </c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6.107</v>
      </c>
      <c r="AI26">
        <f t="shared" si="5"/>
        <v>6.0187496615888785</v>
      </c>
      <c r="AJ26">
        <f t="shared" si="6"/>
        <v>5.874749661588878</v>
      </c>
      <c r="AK26">
        <f t="shared" si="12"/>
        <v>-0.5319868187855642</v>
      </c>
      <c r="AU26">
        <f t="shared" si="13"/>
        <v>10.231651320776107</v>
      </c>
    </row>
    <row r="27" spans="1:47" ht="12.75">
      <c r="A27" s="63">
        <v>19</v>
      </c>
      <c r="B27" s="64">
        <v>7</v>
      </c>
      <c r="C27" s="65">
        <v>6.1</v>
      </c>
      <c r="D27" s="65">
        <v>11.9</v>
      </c>
      <c r="E27" s="65">
        <v>0</v>
      </c>
      <c r="F27" s="66">
        <f t="shared" si="0"/>
        <v>5.95</v>
      </c>
      <c r="G27" s="67">
        <f t="shared" si="7"/>
        <v>86.80710413571367</v>
      </c>
      <c r="H27" s="67">
        <f t="shared" si="1"/>
        <v>4.955914184109056</v>
      </c>
      <c r="I27" s="68">
        <v>-1</v>
      </c>
      <c r="J27" s="66"/>
      <c r="K27" s="68">
        <v>5.7</v>
      </c>
      <c r="L27" s="65">
        <v>6</v>
      </c>
      <c r="M27" s="65"/>
      <c r="N27" s="65">
        <v>8.5</v>
      </c>
      <c r="O27" s="66">
        <v>0</v>
      </c>
      <c r="P27" s="69" t="s">
        <v>136</v>
      </c>
      <c r="Q27" s="70">
        <v>23</v>
      </c>
      <c r="R27" s="67">
        <v>0</v>
      </c>
      <c r="S27" s="67"/>
      <c r="T27" s="67">
        <v>0.7</v>
      </c>
      <c r="U27" s="67"/>
      <c r="V27" s="71">
        <v>8</v>
      </c>
      <c r="W27" s="64">
        <v>996.2</v>
      </c>
      <c r="X27" s="121">
        <f t="shared" si="2"/>
        <v>1006.5687406717734</v>
      </c>
      <c r="Y27" s="127">
        <v>0</v>
      </c>
      <c r="Z27" s="134">
        <v>0</v>
      </c>
      <c r="AA27" s="127">
        <v>0</v>
      </c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10.014043920115377</v>
      </c>
      <c r="AI27">
        <f t="shared" si="5"/>
        <v>9.41200153393066</v>
      </c>
      <c r="AJ27">
        <f t="shared" si="6"/>
        <v>8.692901533930659</v>
      </c>
      <c r="AK27">
        <f t="shared" si="12"/>
        <v>4.955914184109056</v>
      </c>
      <c r="AU27">
        <f t="shared" si="13"/>
        <v>10.627216511620718</v>
      </c>
    </row>
    <row r="28" spans="1:47" ht="12.75">
      <c r="A28" s="72">
        <v>20</v>
      </c>
      <c r="B28" s="73">
        <v>11.9</v>
      </c>
      <c r="C28" s="74">
        <v>11.5</v>
      </c>
      <c r="D28" s="74">
        <v>13.7</v>
      </c>
      <c r="E28" s="74">
        <v>7</v>
      </c>
      <c r="F28" s="75">
        <f t="shared" si="0"/>
        <v>10.35</v>
      </c>
      <c r="G28" s="67">
        <f t="shared" si="7"/>
        <v>95.09602505976852</v>
      </c>
      <c r="H28" s="76">
        <f t="shared" si="1"/>
        <v>11.140272380561328</v>
      </c>
      <c r="I28" s="77">
        <v>7</v>
      </c>
      <c r="J28" s="75"/>
      <c r="K28" s="77">
        <v>8.8</v>
      </c>
      <c r="L28" s="74">
        <v>8.9</v>
      </c>
      <c r="M28" s="74"/>
      <c r="N28" s="74">
        <v>8.7</v>
      </c>
      <c r="O28" s="75">
        <v>9.8</v>
      </c>
      <c r="P28" s="78" t="s">
        <v>139</v>
      </c>
      <c r="Q28" s="79">
        <v>23</v>
      </c>
      <c r="R28" s="76">
        <v>0</v>
      </c>
      <c r="S28" s="76"/>
      <c r="T28" s="76">
        <v>21.1</v>
      </c>
      <c r="U28" s="76"/>
      <c r="V28" s="80">
        <v>8</v>
      </c>
      <c r="W28" s="73">
        <v>993.3</v>
      </c>
      <c r="X28" s="121">
        <f t="shared" si="2"/>
        <v>1003.4597769870358</v>
      </c>
      <c r="Y28" s="127">
        <v>0</v>
      </c>
      <c r="Z28" s="134">
        <v>0</v>
      </c>
      <c r="AA28" s="127">
        <v>0</v>
      </c>
      <c r="AB28">
        <f t="shared" si="8"/>
        <v>20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0</v>
      </c>
      <c r="AH28">
        <f t="shared" si="11"/>
        <v>13.925979168301964</v>
      </c>
      <c r="AI28">
        <f t="shared" si="5"/>
        <v>13.56265263970658</v>
      </c>
      <c r="AJ28">
        <f t="shared" si="6"/>
        <v>13.24305263970658</v>
      </c>
      <c r="AK28">
        <f t="shared" si="12"/>
        <v>11.140272380561328</v>
      </c>
      <c r="AU28">
        <f t="shared" si="13"/>
        <v>10.493245179124791</v>
      </c>
    </row>
    <row r="29" spans="1:47" ht="12.75">
      <c r="A29" s="63">
        <v>21</v>
      </c>
      <c r="B29" s="64">
        <v>6.9</v>
      </c>
      <c r="C29" s="65">
        <v>6.9</v>
      </c>
      <c r="D29" s="65">
        <v>10.2</v>
      </c>
      <c r="E29" s="65">
        <v>7</v>
      </c>
      <c r="F29" s="66">
        <f t="shared" si="0"/>
        <v>8.6</v>
      </c>
      <c r="G29" s="67">
        <f t="shared" si="7"/>
        <v>100</v>
      </c>
      <c r="H29" s="67">
        <f t="shared" si="1"/>
        <v>6.9</v>
      </c>
      <c r="I29" s="68">
        <v>7</v>
      </c>
      <c r="J29" s="66"/>
      <c r="K29" s="68">
        <v>7.9</v>
      </c>
      <c r="L29" s="65">
        <v>8.4</v>
      </c>
      <c r="M29" s="65"/>
      <c r="N29" s="65">
        <v>8.7</v>
      </c>
      <c r="O29" s="66">
        <v>9.8</v>
      </c>
      <c r="P29" s="69" t="s">
        <v>140</v>
      </c>
      <c r="Q29" s="70">
        <v>15</v>
      </c>
      <c r="R29" s="67">
        <v>0</v>
      </c>
      <c r="S29" s="67"/>
      <c r="T29" s="67">
        <v>10.3</v>
      </c>
      <c r="U29" s="67"/>
      <c r="V29" s="71">
        <v>8</v>
      </c>
      <c r="W29" s="64">
        <v>993.9</v>
      </c>
      <c r="X29" s="121">
        <f t="shared" si="2"/>
        <v>1004.2485179435722</v>
      </c>
      <c r="Y29" s="127">
        <v>0</v>
      </c>
      <c r="Z29" s="134">
        <v>0</v>
      </c>
      <c r="AA29" s="127"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9.945515096468517</v>
      </c>
      <c r="AI29">
        <f t="shared" si="5"/>
        <v>9.945515096468517</v>
      </c>
      <c r="AJ29">
        <f t="shared" si="6"/>
        <v>9.945515096468517</v>
      </c>
      <c r="AK29">
        <f t="shared" si="12"/>
        <v>6.9</v>
      </c>
      <c r="AU29">
        <f t="shared" si="13"/>
        <v>10.442136816240653</v>
      </c>
    </row>
    <row r="30" spans="1:47" ht="12.75">
      <c r="A30" s="72">
        <v>22</v>
      </c>
      <c r="B30" s="73">
        <v>10.2</v>
      </c>
      <c r="C30" s="74">
        <v>9.7</v>
      </c>
      <c r="D30" s="74">
        <v>12.6</v>
      </c>
      <c r="E30" s="74">
        <v>4.2</v>
      </c>
      <c r="F30" s="75">
        <f t="shared" si="0"/>
        <v>8.4</v>
      </c>
      <c r="G30" s="67">
        <f t="shared" si="7"/>
        <v>93.49263990616087</v>
      </c>
      <c r="H30" s="76">
        <f t="shared" si="1"/>
        <v>9.198080142067331</v>
      </c>
      <c r="I30" s="77">
        <v>0.3</v>
      </c>
      <c r="J30" s="75"/>
      <c r="K30" s="77">
        <v>7.7</v>
      </c>
      <c r="L30" s="74">
        <v>7.9</v>
      </c>
      <c r="M30" s="74"/>
      <c r="N30" s="74">
        <v>9.1</v>
      </c>
      <c r="O30" s="75">
        <v>9.9</v>
      </c>
      <c r="P30" s="78" t="s">
        <v>141</v>
      </c>
      <c r="Q30" s="79">
        <v>39</v>
      </c>
      <c r="R30" s="76">
        <v>0.2</v>
      </c>
      <c r="S30" s="76"/>
      <c r="T30" s="76">
        <v>11.3</v>
      </c>
      <c r="U30" s="76"/>
      <c r="V30" s="80">
        <v>8</v>
      </c>
      <c r="W30" s="73">
        <v>996.7</v>
      </c>
      <c r="X30" s="121">
        <f t="shared" si="2"/>
        <v>1006.9560840345526</v>
      </c>
      <c r="Y30" s="127">
        <v>0</v>
      </c>
      <c r="Z30" s="134">
        <v>0</v>
      </c>
      <c r="AA30" s="127">
        <v>0</v>
      </c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0</v>
      </c>
      <c r="AH30">
        <f t="shared" si="11"/>
        <v>12.4387434277299</v>
      </c>
      <c r="AI30">
        <f t="shared" si="5"/>
        <v>12.028809601738768</v>
      </c>
      <c r="AJ30">
        <f t="shared" si="6"/>
        <v>11.629309601738768</v>
      </c>
      <c r="AK30">
        <f t="shared" si="12"/>
        <v>9.198080142067331</v>
      </c>
      <c r="AU30">
        <f t="shared" si="13"/>
        <v>10.43286935277646</v>
      </c>
    </row>
    <row r="31" spans="1:47" ht="12.75">
      <c r="A31" s="63">
        <v>23</v>
      </c>
      <c r="B31" s="64">
        <v>3.8</v>
      </c>
      <c r="C31" s="65">
        <v>3.4</v>
      </c>
      <c r="D31" s="65">
        <v>9.5</v>
      </c>
      <c r="E31" s="65">
        <v>3.5</v>
      </c>
      <c r="F31" s="66">
        <f t="shared" si="0"/>
        <v>6.5</v>
      </c>
      <c r="G31" s="67">
        <f t="shared" si="7"/>
        <v>93.22937439519971</v>
      </c>
      <c r="H31" s="67">
        <f t="shared" si="1"/>
        <v>2.8090834143712238</v>
      </c>
      <c r="I31" s="68">
        <v>-0.3</v>
      </c>
      <c r="J31" s="66"/>
      <c r="K31" s="68">
        <v>6.2</v>
      </c>
      <c r="L31" s="65">
        <v>6.8</v>
      </c>
      <c r="M31" s="65"/>
      <c r="N31" s="65">
        <v>9.1</v>
      </c>
      <c r="O31" s="66">
        <v>9.9</v>
      </c>
      <c r="P31" s="69" t="s">
        <v>114</v>
      </c>
      <c r="Q31" s="70">
        <v>16</v>
      </c>
      <c r="R31" s="67">
        <v>4.7</v>
      </c>
      <c r="S31" s="67"/>
      <c r="T31" s="67" t="s">
        <v>112</v>
      </c>
      <c r="U31" s="67"/>
      <c r="V31" s="71">
        <v>0</v>
      </c>
      <c r="W31" s="64">
        <v>999.6</v>
      </c>
      <c r="X31" s="121">
        <f t="shared" si="2"/>
        <v>1010.1250808795528</v>
      </c>
      <c r="Y31" s="127">
        <v>0</v>
      </c>
      <c r="Z31" s="134">
        <v>0</v>
      </c>
      <c r="AA31" s="127">
        <v>0</v>
      </c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8.016048052675158</v>
      </c>
      <c r="AI31">
        <f t="shared" si="5"/>
        <v>7.792911450727639</v>
      </c>
      <c r="AJ31">
        <f t="shared" si="6"/>
        <v>7.473311450727639</v>
      </c>
      <c r="AK31">
        <f t="shared" si="12"/>
        <v>2.8090834143712238</v>
      </c>
      <c r="AU31">
        <f t="shared" si="13"/>
        <v>10.570539752626528</v>
      </c>
    </row>
    <row r="32" spans="1:47" ht="12.75">
      <c r="A32" s="72">
        <v>24</v>
      </c>
      <c r="B32" s="73">
        <v>1.4</v>
      </c>
      <c r="C32" s="74">
        <v>1.4</v>
      </c>
      <c r="D32" s="74">
        <v>7.9</v>
      </c>
      <c r="E32" s="74">
        <v>-0.9</v>
      </c>
      <c r="F32" s="75">
        <f t="shared" si="0"/>
        <v>3.5</v>
      </c>
      <c r="G32" s="67">
        <f t="shared" si="7"/>
        <v>100</v>
      </c>
      <c r="H32" s="76">
        <f t="shared" si="1"/>
        <v>1.3999999999999997</v>
      </c>
      <c r="I32" s="77">
        <v>-3.4</v>
      </c>
      <c r="J32" s="75"/>
      <c r="K32" s="77">
        <v>5.2</v>
      </c>
      <c r="L32" s="74">
        <v>5.2</v>
      </c>
      <c r="M32" s="74"/>
      <c r="N32" s="74">
        <v>8.7</v>
      </c>
      <c r="O32" s="75">
        <v>9.9</v>
      </c>
      <c r="P32" s="78" t="s">
        <v>142</v>
      </c>
      <c r="Q32" s="79">
        <v>17</v>
      </c>
      <c r="R32" s="76">
        <v>0</v>
      </c>
      <c r="S32" s="76"/>
      <c r="T32" s="76">
        <v>27.3</v>
      </c>
      <c r="U32" s="76"/>
      <c r="V32" s="80">
        <v>9</v>
      </c>
      <c r="W32" s="73">
        <v>1004</v>
      </c>
      <c r="X32" s="121">
        <f t="shared" si="2"/>
        <v>1014.6643930139911</v>
      </c>
      <c r="Y32" s="127">
        <v>0</v>
      </c>
      <c r="Z32" s="134">
        <v>0</v>
      </c>
      <c r="AA32" s="127">
        <v>0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24</v>
      </c>
      <c r="AF32">
        <f t="shared" si="4"/>
        <v>0</v>
      </c>
      <c r="AH32">
        <f t="shared" si="11"/>
        <v>6.757481736768829</v>
      </c>
      <c r="AI32">
        <f t="shared" si="5"/>
        <v>6.757481736768829</v>
      </c>
      <c r="AJ32">
        <f t="shared" si="6"/>
        <v>6.757481736768829</v>
      </c>
      <c r="AK32">
        <f t="shared" si="12"/>
        <v>1.3999999999999997</v>
      </c>
      <c r="AU32">
        <f t="shared" si="13"/>
        <v>10.495295961946011</v>
      </c>
    </row>
    <row r="33" spans="1:47" ht="12.75">
      <c r="A33" s="63">
        <v>25</v>
      </c>
      <c r="B33" s="64">
        <v>6.7</v>
      </c>
      <c r="C33" s="65">
        <v>6</v>
      </c>
      <c r="D33" s="65">
        <v>8.9</v>
      </c>
      <c r="E33" s="65">
        <v>1.4</v>
      </c>
      <c r="F33" s="66">
        <f t="shared" si="0"/>
        <v>5.15</v>
      </c>
      <c r="G33" s="67">
        <f t="shared" si="7"/>
        <v>89.58299773728898</v>
      </c>
      <c r="H33" s="67">
        <f t="shared" si="1"/>
        <v>5.111610785205052</v>
      </c>
      <c r="I33" s="68">
        <v>1.3</v>
      </c>
      <c r="J33" s="66"/>
      <c r="K33" s="68">
        <v>6.3</v>
      </c>
      <c r="L33" s="65">
        <v>6.9</v>
      </c>
      <c r="M33" s="65"/>
      <c r="N33" s="65">
        <v>8.5</v>
      </c>
      <c r="O33" s="66">
        <v>9.6</v>
      </c>
      <c r="P33" s="69" t="s">
        <v>143</v>
      </c>
      <c r="Q33" s="70">
        <v>31</v>
      </c>
      <c r="R33" s="67">
        <v>4.6</v>
      </c>
      <c r="S33" s="67"/>
      <c r="T33" s="67">
        <v>1.5</v>
      </c>
      <c r="U33" s="67"/>
      <c r="V33" s="71">
        <v>0</v>
      </c>
      <c r="W33" s="64">
        <v>993.3</v>
      </c>
      <c r="X33" s="121">
        <f t="shared" si="2"/>
        <v>1003.6497069367955</v>
      </c>
      <c r="Y33" s="127">
        <v>0</v>
      </c>
      <c r="Z33" s="134">
        <v>0</v>
      </c>
      <c r="AA33" s="127">
        <v>0</v>
      </c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9.809696626511307</v>
      </c>
      <c r="AI33">
        <f t="shared" si="5"/>
        <v>9.347120306962537</v>
      </c>
      <c r="AJ33">
        <f t="shared" si="6"/>
        <v>8.787820306962537</v>
      </c>
      <c r="AK33">
        <f t="shared" si="12"/>
        <v>5.111610785205052</v>
      </c>
      <c r="AU33">
        <f t="shared" si="13"/>
        <v>10.362182301517993</v>
      </c>
    </row>
    <row r="34" spans="1:47" ht="12.75">
      <c r="A34" s="72">
        <v>26</v>
      </c>
      <c r="B34" s="73">
        <v>4.3</v>
      </c>
      <c r="C34" s="74">
        <v>4.1</v>
      </c>
      <c r="D34" s="74">
        <v>8.6</v>
      </c>
      <c r="E34" s="74">
        <v>3.2</v>
      </c>
      <c r="F34" s="75">
        <f t="shared" si="0"/>
        <v>5.9</v>
      </c>
      <c r="G34" s="67">
        <f t="shared" si="7"/>
        <v>96.68059421573295</v>
      </c>
      <c r="H34" s="76">
        <f t="shared" si="1"/>
        <v>3.8198811600803233</v>
      </c>
      <c r="I34" s="77">
        <v>-0.9</v>
      </c>
      <c r="J34" s="75"/>
      <c r="K34" s="77">
        <v>6.2</v>
      </c>
      <c r="L34" s="74">
        <v>6.8</v>
      </c>
      <c r="M34" s="74"/>
      <c r="N34" s="74">
        <v>8.5</v>
      </c>
      <c r="O34" s="75">
        <v>9.5</v>
      </c>
      <c r="P34" s="78" t="s">
        <v>142</v>
      </c>
      <c r="Q34" s="79">
        <v>16</v>
      </c>
      <c r="R34" s="76">
        <v>1</v>
      </c>
      <c r="S34" s="76"/>
      <c r="T34" s="76">
        <v>8.1</v>
      </c>
      <c r="U34" s="76"/>
      <c r="V34" s="80">
        <v>4</v>
      </c>
      <c r="W34" s="73">
        <v>987.8</v>
      </c>
      <c r="X34" s="121">
        <f t="shared" si="2"/>
        <v>998.1819767149694</v>
      </c>
      <c r="Y34" s="127">
        <v>0</v>
      </c>
      <c r="Z34" s="134">
        <v>0</v>
      </c>
      <c r="AA34" s="127">
        <v>0</v>
      </c>
      <c r="AB34">
        <f t="shared" si="8"/>
        <v>0</v>
      </c>
      <c r="AC34">
        <f t="shared" si="9"/>
        <v>0</v>
      </c>
      <c r="AD34">
        <f t="shared" si="10"/>
        <v>0</v>
      </c>
      <c r="AE34">
        <f t="shared" si="3"/>
        <v>0</v>
      </c>
      <c r="AF34">
        <f t="shared" si="4"/>
        <v>0</v>
      </c>
      <c r="AH34">
        <f t="shared" si="11"/>
        <v>8.302890934011156</v>
      </c>
      <c r="AI34">
        <f t="shared" si="5"/>
        <v>8.187084292086206</v>
      </c>
      <c r="AJ34">
        <f t="shared" si="6"/>
        <v>8.027284292086206</v>
      </c>
      <c r="AK34">
        <f t="shared" si="12"/>
        <v>3.8198811600803233</v>
      </c>
      <c r="AU34">
        <f t="shared" si="13"/>
        <v>10.721527847499882</v>
      </c>
    </row>
    <row r="35" spans="1:47" ht="12.75">
      <c r="A35" s="63">
        <v>27</v>
      </c>
      <c r="B35" s="64">
        <v>6.5</v>
      </c>
      <c r="C35" s="65">
        <v>6</v>
      </c>
      <c r="D35" s="65">
        <v>7.4</v>
      </c>
      <c r="E35" s="65">
        <v>5.6</v>
      </c>
      <c r="F35" s="66">
        <f t="shared" si="0"/>
        <v>6.5</v>
      </c>
      <c r="G35" s="67">
        <f t="shared" si="7"/>
        <v>92.47693003632446</v>
      </c>
      <c r="H35" s="67">
        <f t="shared" si="1"/>
        <v>5.3704117703691105</v>
      </c>
      <c r="I35" s="68">
        <v>2</v>
      </c>
      <c r="J35" s="66"/>
      <c r="K35" s="68">
        <v>6</v>
      </c>
      <c r="L35" s="65">
        <v>6</v>
      </c>
      <c r="M35" s="65"/>
      <c r="N35" s="65">
        <v>8.4</v>
      </c>
      <c r="O35" s="66">
        <v>9.5</v>
      </c>
      <c r="P35" s="69" t="s">
        <v>151</v>
      </c>
      <c r="Q35" s="70">
        <v>25</v>
      </c>
      <c r="R35" s="67">
        <v>1.5</v>
      </c>
      <c r="S35" s="67"/>
      <c r="T35" s="67">
        <v>0.5</v>
      </c>
      <c r="U35" s="67"/>
      <c r="V35" s="71">
        <v>8</v>
      </c>
      <c r="W35" s="64">
        <v>996.2</v>
      </c>
      <c r="X35" s="121">
        <f t="shared" si="2"/>
        <v>1006.587392192926</v>
      </c>
      <c r="Y35" s="127">
        <v>0</v>
      </c>
      <c r="Z35" s="134">
        <v>0</v>
      </c>
      <c r="AA35" s="127">
        <v>0</v>
      </c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9.67551615678414</v>
      </c>
      <c r="AI35">
        <f t="shared" si="5"/>
        <v>9.347120306962537</v>
      </c>
      <c r="AJ35">
        <f t="shared" si="6"/>
        <v>8.947620306962538</v>
      </c>
      <c r="AK35">
        <f t="shared" si="12"/>
        <v>5.3704117703691105</v>
      </c>
      <c r="AU35">
        <f t="shared" si="13"/>
        <v>10.368740671773335</v>
      </c>
    </row>
    <row r="36" spans="1:47" ht="12.75">
      <c r="A36" s="72">
        <v>28</v>
      </c>
      <c r="B36" s="73">
        <v>3.8</v>
      </c>
      <c r="C36" s="74">
        <v>3.1</v>
      </c>
      <c r="D36" s="74">
        <v>6.7</v>
      </c>
      <c r="E36" s="74">
        <v>3.8</v>
      </c>
      <c r="F36" s="75">
        <f t="shared" si="0"/>
        <v>5.25</v>
      </c>
      <c r="G36" s="67">
        <f t="shared" si="7"/>
        <v>88.19654742666127</v>
      </c>
      <c r="H36" s="76">
        <f t="shared" si="1"/>
        <v>2.03041799811353</v>
      </c>
      <c r="I36" s="77">
        <v>1</v>
      </c>
      <c r="J36" s="75"/>
      <c r="K36" s="77">
        <v>4</v>
      </c>
      <c r="L36" s="74">
        <v>5</v>
      </c>
      <c r="M36" s="74"/>
      <c r="N36" s="74">
        <v>8.2</v>
      </c>
      <c r="O36" s="75">
        <v>9.4</v>
      </c>
      <c r="P36" s="78" t="s">
        <v>140</v>
      </c>
      <c r="Q36" s="79">
        <v>14</v>
      </c>
      <c r="R36" s="76">
        <v>4.7</v>
      </c>
      <c r="S36" s="76"/>
      <c r="T36" s="76">
        <v>0</v>
      </c>
      <c r="U36" s="76"/>
      <c r="V36" s="80">
        <v>0</v>
      </c>
      <c r="W36" s="73">
        <v>1005.8</v>
      </c>
      <c r="X36" s="121">
        <f t="shared" si="2"/>
        <v>1016.3903624936517</v>
      </c>
      <c r="Y36" s="127">
        <v>0</v>
      </c>
      <c r="Z36" s="134">
        <v>0</v>
      </c>
      <c r="AA36" s="127"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8.016048052675158</v>
      </c>
      <c r="AI36">
        <f t="shared" si="5"/>
        <v>7.629177622521602</v>
      </c>
      <c r="AJ36">
        <f t="shared" si="6"/>
        <v>7.069877622521602</v>
      </c>
      <c r="AK36">
        <f t="shared" si="12"/>
        <v>2.03041799811353</v>
      </c>
      <c r="AU36">
        <f t="shared" si="13"/>
        <v>10.159776987035789</v>
      </c>
    </row>
    <row r="37" spans="1:47" ht="12.75">
      <c r="A37" s="63">
        <v>29</v>
      </c>
      <c r="B37" s="64">
        <v>-0.5</v>
      </c>
      <c r="C37" s="65">
        <v>-1</v>
      </c>
      <c r="D37" s="65">
        <v>5.1</v>
      </c>
      <c r="E37" s="65">
        <v>-2.1</v>
      </c>
      <c r="F37" s="66">
        <f t="shared" si="0"/>
        <v>1.4999999999999998</v>
      </c>
      <c r="G37" s="67">
        <f t="shared" si="7"/>
        <v>90.29359249594371</v>
      </c>
      <c r="H37" s="67">
        <f t="shared" si="1"/>
        <v>-1.8900547349682313</v>
      </c>
      <c r="I37" s="68">
        <v>-6</v>
      </c>
      <c r="J37" s="66"/>
      <c r="K37" s="68">
        <v>3.2</v>
      </c>
      <c r="L37" s="65">
        <v>4</v>
      </c>
      <c r="M37" s="65"/>
      <c r="N37" s="65">
        <v>8.1</v>
      </c>
      <c r="O37" s="66">
        <v>9.4</v>
      </c>
      <c r="P37" s="69" t="s">
        <v>108</v>
      </c>
      <c r="Q37" s="70">
        <v>8</v>
      </c>
      <c r="R37" s="67">
        <v>3.8</v>
      </c>
      <c r="S37" s="67"/>
      <c r="T37" s="67">
        <v>0</v>
      </c>
      <c r="U37" s="67"/>
      <c r="V37" s="71">
        <v>0</v>
      </c>
      <c r="W37" s="64">
        <v>1004.5</v>
      </c>
      <c r="X37" s="121">
        <f t="shared" si="2"/>
        <v>1015.2445211166488</v>
      </c>
      <c r="Y37" s="127">
        <v>0</v>
      </c>
      <c r="Z37" s="134">
        <v>0</v>
      </c>
      <c r="AA37" s="127">
        <v>0</v>
      </c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5.888489985091041</v>
      </c>
      <c r="AI37">
        <f t="shared" si="5"/>
        <v>5.676929151302562</v>
      </c>
      <c r="AJ37">
        <f t="shared" si="6"/>
        <v>5.316929151302562</v>
      </c>
      <c r="AK37">
        <f t="shared" si="12"/>
        <v>-1.8900547349682313</v>
      </c>
      <c r="AU37">
        <f t="shared" si="13"/>
        <v>10.348517943572267</v>
      </c>
    </row>
    <row r="38" spans="1:47" ht="12.75">
      <c r="A38" s="72">
        <v>30</v>
      </c>
      <c r="B38" s="73">
        <v>-2.9</v>
      </c>
      <c r="C38" s="74">
        <v>-3.2</v>
      </c>
      <c r="D38" s="74">
        <v>2.8</v>
      </c>
      <c r="E38" s="74">
        <v>-3.4</v>
      </c>
      <c r="F38" s="75">
        <f t="shared" si="0"/>
        <v>-0.30000000000000004</v>
      </c>
      <c r="G38" s="67">
        <f t="shared" si="7"/>
        <v>93.40788331444739</v>
      </c>
      <c r="H38" s="76">
        <f t="shared" si="1"/>
        <v>-3.811618537972507</v>
      </c>
      <c r="I38" s="77">
        <v>-6.8</v>
      </c>
      <c r="J38" s="75"/>
      <c r="K38" s="77">
        <v>2.1</v>
      </c>
      <c r="L38" s="74">
        <v>2.8</v>
      </c>
      <c r="M38" s="74"/>
      <c r="N38" s="74">
        <v>7.5</v>
      </c>
      <c r="O38" s="75">
        <v>9.2</v>
      </c>
      <c r="P38" s="78" t="s">
        <v>108</v>
      </c>
      <c r="Q38" s="79">
        <v>6</v>
      </c>
      <c r="R38" s="76">
        <v>0.2</v>
      </c>
      <c r="S38" s="76"/>
      <c r="T38" s="76">
        <v>0.3</v>
      </c>
      <c r="U38" s="76"/>
      <c r="V38" s="80">
        <v>5</v>
      </c>
      <c r="W38" s="73">
        <v>1000.3</v>
      </c>
      <c r="X38" s="121">
        <f t="shared" si="2"/>
        <v>1011.0952138406516</v>
      </c>
      <c r="Y38" s="127">
        <v>0</v>
      </c>
      <c r="Z38" s="134">
        <v>0</v>
      </c>
      <c r="AA38" s="127">
        <v>0</v>
      </c>
      <c r="AB38">
        <f t="shared" si="8"/>
        <v>0</v>
      </c>
      <c r="AC38">
        <f t="shared" si="9"/>
        <v>30</v>
      </c>
      <c r="AD38">
        <f t="shared" si="10"/>
        <v>30</v>
      </c>
      <c r="AE38">
        <f>IF((MAX($T$9:$T$39)=$T38),A38,0)</f>
        <v>0</v>
      </c>
      <c r="AF38">
        <f t="shared" si="4"/>
        <v>0</v>
      </c>
      <c r="AH38">
        <f t="shared" si="11"/>
        <v>4.933054223238464</v>
      </c>
      <c r="AI38">
        <f t="shared" si="5"/>
        <v>4.823861532681004</v>
      </c>
      <c r="AJ38">
        <f t="shared" si="6"/>
        <v>4.607861532681004</v>
      </c>
      <c r="AK38">
        <f t="shared" si="12"/>
        <v>-3.811618537972507</v>
      </c>
      <c r="AU38">
        <f t="shared" si="13"/>
        <v>10.256084034552618</v>
      </c>
    </row>
    <row r="39" spans="1:47" ht="12.75">
      <c r="A39" s="63"/>
      <c r="B39" s="64"/>
      <c r="C39" s="65"/>
      <c r="D39" s="65"/>
      <c r="E39" s="65"/>
      <c r="F39" s="66"/>
      <c r="G39" s="67"/>
      <c r="H39" s="67"/>
      <c r="I39" s="68"/>
      <c r="J39" s="66"/>
      <c r="K39" s="68"/>
      <c r="L39" s="65"/>
      <c r="M39" s="65"/>
      <c r="N39" s="65"/>
      <c r="O39" s="66"/>
      <c r="P39" s="69"/>
      <c r="Q39" s="70"/>
      <c r="R39" s="67"/>
      <c r="S39" s="67"/>
      <c r="T39" s="67"/>
      <c r="U39" s="67"/>
      <c r="V39" s="71"/>
      <c r="W39" s="64"/>
      <c r="X39" s="121"/>
      <c r="Y39" s="127"/>
      <c r="Z39" s="134"/>
      <c r="AA39" s="127"/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0</v>
      </c>
      <c r="AH39">
        <f t="shared" si="11"/>
        <v>6.107</v>
      </c>
      <c r="AI39">
        <f t="shared" si="5"/>
        <v>6.107</v>
      </c>
      <c r="AJ39">
        <f t="shared" si="6"/>
        <v>6.107</v>
      </c>
      <c r="AK39">
        <f t="shared" si="12"/>
        <v>0</v>
      </c>
      <c r="AU39">
        <f t="shared" si="13"/>
        <v>10.525080879552775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 t="shared" si="13"/>
        <v>10.664393013991157</v>
      </c>
    </row>
    <row r="41" spans="1:47" ht="13.5" thickBot="1">
      <c r="A41" s="113" t="s">
        <v>19</v>
      </c>
      <c r="B41" s="114">
        <f>SUM(B9:B39)</f>
        <v>160.30000000000004</v>
      </c>
      <c r="C41" s="115">
        <f aca="true" t="shared" si="14" ref="C41:V41">SUM(C9:C39)</f>
        <v>147.6</v>
      </c>
      <c r="D41" s="115">
        <f t="shared" si="14"/>
        <v>275.3999999999999</v>
      </c>
      <c r="E41" s="115">
        <f t="shared" si="14"/>
        <v>88.7</v>
      </c>
      <c r="F41" s="116">
        <f t="shared" si="14"/>
        <v>182.04999999999998</v>
      </c>
      <c r="G41" s="117">
        <f t="shared" si="14"/>
        <v>2803.8147159311</v>
      </c>
      <c r="H41" s="117">
        <f>SUM(H9:H39)</f>
        <v>130.79862561768854</v>
      </c>
      <c r="I41" s="118">
        <f t="shared" si="14"/>
        <v>17.5</v>
      </c>
      <c r="J41" s="116">
        <f t="shared" si="14"/>
        <v>0</v>
      </c>
      <c r="K41" s="118">
        <f t="shared" si="14"/>
        <v>187.59999999999994</v>
      </c>
      <c r="L41" s="115">
        <f t="shared" si="14"/>
        <v>200.90000000000006</v>
      </c>
      <c r="M41" s="115">
        <f t="shared" si="14"/>
        <v>0</v>
      </c>
      <c r="N41" s="115">
        <f t="shared" si="14"/>
        <v>265.09999999999997</v>
      </c>
      <c r="O41" s="116">
        <f t="shared" si="14"/>
        <v>289.3</v>
      </c>
      <c r="P41" s="114"/>
      <c r="Q41" s="119">
        <f t="shared" si="14"/>
        <v>491</v>
      </c>
      <c r="R41" s="117">
        <f t="shared" si="14"/>
        <v>48.80000000000001</v>
      </c>
      <c r="S41" s="117"/>
      <c r="T41" s="117">
        <f>SUM(T9:T39)</f>
        <v>98.59999999999998</v>
      </c>
      <c r="U41" s="139"/>
      <c r="V41" s="119">
        <f t="shared" si="14"/>
        <v>159</v>
      </c>
      <c r="W41" s="117">
        <f>SUM(W9:W39)</f>
        <v>29944.5</v>
      </c>
      <c r="X41" s="123">
        <f>SUM(X9:X39)</f>
        <v>30258.08342570744</v>
      </c>
      <c r="Y41" s="117">
        <f>SUM(Y9:Y39)</f>
        <v>0</v>
      </c>
      <c r="Z41" s="123">
        <f>SUM(Z9:Z39)</f>
        <v>0</v>
      </c>
      <c r="AA41" s="138">
        <f>SUM(AA9:AA39)</f>
        <v>0</v>
      </c>
      <c r="AB41">
        <f>MAX(AB9:AB39)</f>
        <v>20</v>
      </c>
      <c r="AC41">
        <f>MAX(AC9:AC39)</f>
        <v>30</v>
      </c>
      <c r="AD41">
        <f>MAX(AD9:AD39)</f>
        <v>30</v>
      </c>
      <c r="AE41">
        <f>MAX(AE9:AE39)</f>
        <v>24</v>
      </c>
      <c r="AF41">
        <f>MAX(AF9:AF39)</f>
        <v>11</v>
      </c>
      <c r="AU41">
        <f t="shared" si="13"/>
        <v>10.349706936795494</v>
      </c>
    </row>
    <row r="42" spans="1:47" ht="12.75">
      <c r="A42" s="72" t="s">
        <v>20</v>
      </c>
      <c r="B42" s="73">
        <f>AVERAGE(B9:B39)</f>
        <v>5.343333333333335</v>
      </c>
      <c r="C42" s="74">
        <f aca="true" t="shared" si="15" ref="C42:V42">AVERAGE(C9:C39)</f>
        <v>4.92</v>
      </c>
      <c r="D42" s="74">
        <f t="shared" si="15"/>
        <v>9.179999999999998</v>
      </c>
      <c r="E42" s="74">
        <f t="shared" si="15"/>
        <v>2.9566666666666666</v>
      </c>
      <c r="F42" s="75">
        <f t="shared" si="15"/>
        <v>6.0683333333333325</v>
      </c>
      <c r="G42" s="76">
        <f t="shared" si="15"/>
        <v>93.46049053103667</v>
      </c>
      <c r="H42" s="76">
        <f>AVERAGE(H9:H39)</f>
        <v>4.359954187256284</v>
      </c>
      <c r="I42" s="77">
        <f t="shared" si="15"/>
        <v>0.5833333333333334</v>
      </c>
      <c r="J42" s="75" t="e">
        <f t="shared" si="15"/>
        <v>#DIV/0!</v>
      </c>
      <c r="K42" s="77">
        <f t="shared" si="15"/>
        <v>6.253333333333331</v>
      </c>
      <c r="L42" s="74">
        <f t="shared" si="15"/>
        <v>6.696666666666669</v>
      </c>
      <c r="M42" s="74" t="e">
        <f t="shared" si="15"/>
        <v>#DIV/0!</v>
      </c>
      <c r="N42" s="74">
        <f t="shared" si="15"/>
        <v>8.836666666666666</v>
      </c>
      <c r="O42" s="75">
        <f t="shared" si="15"/>
        <v>9.643333333333334</v>
      </c>
      <c r="P42" s="73"/>
      <c r="Q42" s="75">
        <f t="shared" si="15"/>
        <v>16.366666666666667</v>
      </c>
      <c r="R42" s="76">
        <f t="shared" si="15"/>
        <v>1.6266666666666671</v>
      </c>
      <c r="S42" s="76"/>
      <c r="T42" s="76">
        <f>AVERAGE(T9:T39)</f>
        <v>4.481818181818181</v>
      </c>
      <c r="U42" s="76"/>
      <c r="V42" s="76">
        <f t="shared" si="15"/>
        <v>5.3</v>
      </c>
      <c r="W42" s="76">
        <f>AVERAGE(W9:W39)</f>
        <v>998.15</v>
      </c>
      <c r="X42" s="124">
        <f>AVERAGE(X9:X39)</f>
        <v>1008.6027808569146</v>
      </c>
      <c r="Y42" s="127"/>
      <c r="Z42" s="134"/>
      <c r="AA42" s="130"/>
      <c r="AU42">
        <f t="shared" si="13"/>
        <v>10.381976714969522</v>
      </c>
    </row>
    <row r="43" spans="1:47" ht="12.75">
      <c r="A43" s="72" t="s">
        <v>21</v>
      </c>
      <c r="B43" s="73">
        <f>MAX(B9:B39)</f>
        <v>11.9</v>
      </c>
      <c r="C43" s="74">
        <f aca="true" t="shared" si="16" ref="C43:V43">MAX(C9:C39)</f>
        <v>11.5</v>
      </c>
      <c r="D43" s="74">
        <f t="shared" si="16"/>
        <v>13.7</v>
      </c>
      <c r="E43" s="74">
        <f t="shared" si="16"/>
        <v>9.4</v>
      </c>
      <c r="F43" s="75">
        <f t="shared" si="16"/>
        <v>11.05</v>
      </c>
      <c r="G43" s="76">
        <f t="shared" si="16"/>
        <v>100</v>
      </c>
      <c r="H43" s="76">
        <f>MAX(H9:H39)</f>
        <v>11.140272380561328</v>
      </c>
      <c r="I43" s="77">
        <f t="shared" si="16"/>
        <v>8.7</v>
      </c>
      <c r="J43" s="75">
        <f t="shared" si="16"/>
        <v>0</v>
      </c>
      <c r="K43" s="77">
        <f t="shared" si="16"/>
        <v>9.3</v>
      </c>
      <c r="L43" s="74">
        <f t="shared" si="16"/>
        <v>9.5</v>
      </c>
      <c r="M43" s="74">
        <f t="shared" si="16"/>
        <v>0</v>
      </c>
      <c r="N43" s="74">
        <f t="shared" si="16"/>
        <v>9.9</v>
      </c>
      <c r="O43" s="75">
        <f t="shared" si="16"/>
        <v>11</v>
      </c>
      <c r="P43" s="73"/>
      <c r="Q43" s="70">
        <f t="shared" si="16"/>
        <v>39</v>
      </c>
      <c r="R43" s="76">
        <f t="shared" si="16"/>
        <v>5.8</v>
      </c>
      <c r="S43" s="76"/>
      <c r="T43" s="76">
        <f>MAX(T9:T39)</f>
        <v>27.3</v>
      </c>
      <c r="U43" s="140"/>
      <c r="V43" s="70">
        <f t="shared" si="16"/>
        <v>9</v>
      </c>
      <c r="W43" s="76">
        <f>MAX(W9:W39)</f>
        <v>1016.4</v>
      </c>
      <c r="X43" s="124">
        <f>MAX(X9:X39)</f>
        <v>1026.8328693527765</v>
      </c>
      <c r="Y43" s="127"/>
      <c r="Z43" s="134"/>
      <c r="AA43" s="127"/>
      <c r="AU43">
        <f t="shared" si="13"/>
        <v>10.387392192925946</v>
      </c>
    </row>
    <row r="44" spans="1:47" ht="13.5" thickBot="1">
      <c r="A44" s="81" t="s">
        <v>22</v>
      </c>
      <c r="B44" s="82">
        <f>MIN(B9:B39)</f>
        <v>-2.9</v>
      </c>
      <c r="C44" s="83">
        <f aca="true" t="shared" si="17" ref="C44:V44">MIN(C9:C39)</f>
        <v>-3.2</v>
      </c>
      <c r="D44" s="83">
        <f t="shared" si="17"/>
        <v>2.8</v>
      </c>
      <c r="E44" s="83">
        <f t="shared" si="17"/>
        <v>-3.4</v>
      </c>
      <c r="F44" s="84">
        <f t="shared" si="17"/>
        <v>-0.30000000000000004</v>
      </c>
      <c r="G44" s="85">
        <f t="shared" si="17"/>
        <v>84.67462596158207</v>
      </c>
      <c r="H44" s="85">
        <f>MIN(H9:H39)</f>
        <v>-3.811618537972507</v>
      </c>
      <c r="I44" s="86">
        <f t="shared" si="17"/>
        <v>-6.8</v>
      </c>
      <c r="J44" s="84">
        <f t="shared" si="17"/>
        <v>0</v>
      </c>
      <c r="K44" s="86">
        <f t="shared" si="17"/>
        <v>2.1</v>
      </c>
      <c r="L44" s="83">
        <f t="shared" si="17"/>
        <v>2.8</v>
      </c>
      <c r="M44" s="83">
        <f t="shared" si="17"/>
        <v>0</v>
      </c>
      <c r="N44" s="83">
        <f t="shared" si="17"/>
        <v>7.5</v>
      </c>
      <c r="O44" s="84">
        <f t="shared" si="17"/>
        <v>0</v>
      </c>
      <c r="P44" s="82"/>
      <c r="Q44" s="120">
        <f t="shared" si="17"/>
        <v>6</v>
      </c>
      <c r="R44" s="85">
        <f t="shared" si="17"/>
        <v>0</v>
      </c>
      <c r="S44" s="85"/>
      <c r="T44" s="85">
        <f>MIN(T9:T39)</f>
        <v>0</v>
      </c>
      <c r="U44" s="141"/>
      <c r="V44" s="120">
        <f t="shared" si="17"/>
        <v>0</v>
      </c>
      <c r="W44" s="85">
        <f>MIN(W9:W39)</f>
        <v>965.2</v>
      </c>
      <c r="X44" s="125">
        <f>MIN(X9:X39)</f>
        <v>975.3041409477736</v>
      </c>
      <c r="Y44" s="128"/>
      <c r="Z44" s="136"/>
      <c r="AA44" s="128"/>
      <c r="AU44">
        <f t="shared" si="13"/>
        <v>10.590362493651641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10.744521116648837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10.795213840651613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0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1</v>
      </c>
      <c r="C60" t="b">
        <f>T9&gt;=1</f>
        <v>0</v>
      </c>
      <c r="D60" t="b">
        <f>T9&gt;=5</f>
        <v>0</v>
      </c>
      <c r="F60" t="b">
        <f>T9="tr"</f>
        <v>0</v>
      </c>
    </row>
    <row r="61" spans="2:6" ht="12.75">
      <c r="B61">
        <f>DCOUNTA(T8:T38,1,B59:B60)</f>
        <v>24</v>
      </c>
      <c r="C61">
        <f>DCOUNTA(T8:T38,1,C59:C60)</f>
        <v>18</v>
      </c>
      <c r="D61">
        <f>DCOUNTA(T8:T38,1,D59:D60)</f>
        <v>14</v>
      </c>
      <c r="F61">
        <f>DCOUNTA(T8:T38,1,F59:F60)</f>
        <v>8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16</v>
      </c>
      <c r="C64">
        <f>(C61-F61)</f>
        <v>10</v>
      </c>
      <c r="D64">
        <f>(D61-F61)</f>
        <v>6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5">
      <selection activeCell="D32" sqref="D32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1" t="s">
        <v>91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/>
      <c r="I4" s="60" t="s">
        <v>56</v>
      </c>
      <c r="J4" s="60"/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2" t="s">
        <v>57</v>
      </c>
      <c r="H6" s="153"/>
      <c r="I6" s="153"/>
      <c r="J6" s="153"/>
      <c r="K6" s="153"/>
      <c r="L6" s="153"/>
      <c r="M6" s="153"/>
      <c r="N6" s="154"/>
    </row>
    <row r="7" spans="1:25" ht="12.75">
      <c r="A7" s="27" t="s">
        <v>29</v>
      </c>
      <c r="B7" s="3"/>
      <c r="C7" s="22">
        <f>Data1!$D$42</f>
        <v>9.179999999999998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2.9566666666666666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6.0683333333333325</v>
      </c>
      <c r="D9" s="5">
        <v>-0.1</v>
      </c>
      <c r="E9" s="3"/>
      <c r="F9" s="40">
        <v>1</v>
      </c>
      <c r="G9" s="89" t="s">
        <v>107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13.7</v>
      </c>
      <c r="C10" s="5" t="s">
        <v>32</v>
      </c>
      <c r="D10" s="5">
        <f>Data1!$AB$41</f>
        <v>20</v>
      </c>
      <c r="E10" s="3"/>
      <c r="F10" s="40">
        <v>2</v>
      </c>
      <c r="G10" s="93" t="s">
        <v>111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-3.4</v>
      </c>
      <c r="C11" s="5" t="s">
        <v>32</v>
      </c>
      <c r="D11" s="24">
        <f>Data1!$AC$41</f>
        <v>30</v>
      </c>
      <c r="E11" s="3"/>
      <c r="F11" s="40">
        <v>3</v>
      </c>
      <c r="G11" s="93" t="s">
        <v>110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-6.8</v>
      </c>
      <c r="C12" s="5" t="s">
        <v>32</v>
      </c>
      <c r="D12" s="24">
        <f>Data1!$AD$41</f>
        <v>30</v>
      </c>
      <c r="E12" s="3"/>
      <c r="F12" s="40">
        <v>4</v>
      </c>
      <c r="G12" s="93" t="s">
        <v>129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9.643333333333334</v>
      </c>
      <c r="C13" s="5"/>
      <c r="D13" s="24"/>
      <c r="E13" s="3"/>
      <c r="F13" s="40">
        <v>5</v>
      </c>
      <c r="G13" s="93" t="s">
        <v>128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127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126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125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Data1!$T$41</f>
        <v>98.59999999999998</v>
      </c>
      <c r="D17" s="5">
        <v>158</v>
      </c>
      <c r="E17" s="3"/>
      <c r="F17" s="40">
        <v>9</v>
      </c>
      <c r="G17" s="93" t="s">
        <v>124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f>Data1!$B$64</f>
        <v>16</v>
      </c>
      <c r="D18" s="5"/>
      <c r="E18" s="3"/>
      <c r="F18" s="40">
        <v>10</v>
      </c>
      <c r="G18" s="93" t="s">
        <v>123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10</v>
      </c>
      <c r="D19" s="5"/>
      <c r="E19" s="3"/>
      <c r="F19" s="40">
        <v>11</v>
      </c>
      <c r="G19" s="93" t="s">
        <v>122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6</v>
      </c>
      <c r="D20" s="5"/>
      <c r="E20" s="3"/>
      <c r="F20" s="40">
        <v>12</v>
      </c>
      <c r="G20" s="93" t="s">
        <v>121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Data1!$T$43</f>
        <v>27.3</v>
      </c>
      <c r="D21" s="5"/>
      <c r="E21" s="3"/>
      <c r="F21" s="40">
        <v>13</v>
      </c>
      <c r="G21" s="93" t="s">
        <v>120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Data1!$AE$41</f>
        <v>24</v>
      </c>
      <c r="D22" s="5"/>
      <c r="E22" s="3"/>
      <c r="F22" s="40">
        <v>14</v>
      </c>
      <c r="G22" s="93" t="s">
        <v>135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134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133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5.8</v>
      </c>
      <c r="D25" s="5" t="s">
        <v>46</v>
      </c>
      <c r="E25" s="5">
        <f>Data1!$AF$41</f>
        <v>11</v>
      </c>
      <c r="F25" s="40">
        <v>17</v>
      </c>
      <c r="G25" s="93" t="s">
        <v>138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48.80000000000001</v>
      </c>
      <c r="D26" s="5" t="s">
        <v>46</v>
      </c>
      <c r="E26" s="155">
        <v>0.69</v>
      </c>
      <c r="F26" s="40">
        <v>18</v>
      </c>
      <c r="G26" s="93" t="s">
        <v>137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150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149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148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39</v>
      </c>
      <c r="D30" s="5"/>
      <c r="E30" s="5"/>
      <c r="F30" s="40">
        <v>22</v>
      </c>
      <c r="G30" s="93" t="s">
        <v>147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Data1!$AP$9</f>
        <v>1</v>
      </c>
      <c r="D31" s="22"/>
      <c r="E31" s="5"/>
      <c r="F31" s="40">
        <v>23</v>
      </c>
      <c r="G31" s="93" t="s">
        <v>146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145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144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Data1!$Z$41</f>
        <v>0</v>
      </c>
      <c r="D34" s="3"/>
      <c r="E34" s="3"/>
      <c r="F34" s="40">
        <v>26</v>
      </c>
      <c r="G34" s="93" t="s">
        <v>152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154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153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Data1!$AA$41</f>
        <v>0</v>
      </c>
      <c r="D37" s="5"/>
      <c r="E37" s="3"/>
      <c r="F37" s="40">
        <v>29</v>
      </c>
      <c r="G37" s="93" t="s">
        <v>155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f>Data1!$AM$9</f>
        <v>8</v>
      </c>
      <c r="D38" s="5"/>
      <c r="E38" s="3"/>
      <c r="F38" s="40">
        <v>30</v>
      </c>
      <c r="G38" s="93" t="s">
        <v>156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Data1!$AN$9</f>
        <v>7</v>
      </c>
      <c r="D39" s="5"/>
      <c r="E39" s="3"/>
      <c r="F39" s="40"/>
      <c r="G39" s="95"/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Data1!$AO$9</f>
        <v>15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 t="s">
        <v>157</v>
      </c>
      <c r="B42" s="3" t="s">
        <v>161</v>
      </c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 t="s">
        <v>158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159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160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</cp:lastModifiedBy>
  <cp:lastPrinted>2008-02-13T09:21:39Z</cp:lastPrinted>
  <dcterms:created xsi:type="dcterms:W3CDTF">1998-03-11T18:30:34Z</dcterms:created>
  <dcterms:modified xsi:type="dcterms:W3CDTF">2012-12-02T20:15:14Z</dcterms:modified>
  <cp:category/>
  <cp:version/>
  <cp:contentType/>
  <cp:contentStatus/>
</cp:coreProperties>
</file>