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<sst xmlns="http://schemas.openxmlformats.org/spreadsheetml/2006/main" count="191" uniqueCount="160">
  <si>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</si>
  <si>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</si>
  <si>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</si>
  <si>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</si>
  <si>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</si>
  <si>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</si>
  <si>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</si>
  <si>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</si>
  <si>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</si>
  <si>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</si>
  <si>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</si>
  <si>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</si>
  <si>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</si>
  <si>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</si>
  <si>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</si>
  <si>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</si>
  <si>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</si>
  <si>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</si>
  <si>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</si>
  <si>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</si>
  <si>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</si>
  <si>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</si>
  <si>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</si>
  <si>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</si>
  <si>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</si>
  <si>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</si>
  <si>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</si>
  <si>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</si>
  <si>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</si>
  <si>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</si>
  <si>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</si>
  <si>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</si>
  <si>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</si>
  <si>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</si>
  <si>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</si>
  <si>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</si>
  <si>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</si>
  <si>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</si>
  <si>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</si>
  <si>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</si>
  <si>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</si>
  <si>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</si>
  <si>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</si>
  <si>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</si>
  <si>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</si>
  <si>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</si>
  <si>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</si>
  <si>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</si>
  <si>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</si>
  <si>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</si>
  <si>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</si>
  <si>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</si>
  <si>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</si>
  <si>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</si>
  <si>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</si>
  <si>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</si>
  <si>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</si>
  <si>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</si>
  <si>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</si>
  <si>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</si>
  <si>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</si>
  <si>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</si>
  <si>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</si>
  <si>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</si>
  <si>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</si>
  <si>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</si>
  <si>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</si>
  <si>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</si>
  <si>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</si>
  <si>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</si>
  <si>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</si>
  <si>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</si>
  <si>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</si>
  <si>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</si>
  <si>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</si>
  <si>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</si>
  <si>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</si>
  <si>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</si>
  <si>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</si>
  <si>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</si>
  <si>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</si>
  <si>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</si>
  <si>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</si>
  <si>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</si>
  <si>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</si>
  <si>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</si>
  <si>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</si>
  <si>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</si>
  <si>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</si>
  <si>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</si>
  <si>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</si>
  <si>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</si>
  <si>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</si>
  <si>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</si>
  <si>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</si>
  <si>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</si>
  <si>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</si>
  <si>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</si>
  <si>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</si>
  <si>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</si>
  <si>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</si>
  <si>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</si>
  <si>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</si>
  <si>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</si>
  <si>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>SSE2</t>
  </si>
  <si>
    <t>SE2</t>
  </si>
  <si>
    <t>SW3</t>
  </si>
  <si>
    <t>A breezy, gust day with some brief bright intervals and mostly cloud. Mild.</t>
  </si>
  <si>
    <t>A cloudy day with breezy conditions. Becoming wet at times, especially afternoon.</t>
  </si>
  <si>
    <t>WSW2</t>
  </si>
  <si>
    <t>A bright and blustery day with sunny intervals. Cloudy evening with early rain. Cold later.</t>
  </si>
  <si>
    <t>S2</t>
  </si>
  <si>
    <t>A wet start with some rain clearing, to leave a bright and breezy day. A dry evening.</t>
  </si>
  <si>
    <t>A bright day with some sunshine, and chilly by evening. Wet later in the night.</t>
  </si>
  <si>
    <t>SW2</t>
  </si>
  <si>
    <t>SSW2</t>
  </si>
  <si>
    <t>SW1</t>
  </si>
  <si>
    <t>tr</t>
  </si>
  <si>
    <t>SSE1</t>
  </si>
  <si>
    <t>W2</t>
  </si>
  <si>
    <t>A wet day, but much milder. Some spells of rain through the day on and off.</t>
  </si>
  <si>
    <t>A cold start with a grounf frost, then bright and sunny with some good sunny spells.</t>
  </si>
  <si>
    <t>Cold and rather cloudy, with some fleetign glimpses of brightness and sunshine.</t>
  </si>
  <si>
    <t>Rather cold with a lot of cloud, and some showery spells too, especially later.</t>
  </si>
  <si>
    <t>A cooler day with a fair amount of cloud, but an odd bright interval. Rain clearing first thing.</t>
  </si>
  <si>
    <t>Increasingly cloudy with rain arriving though the latter part of the day. Turning very mild.</t>
  </si>
  <si>
    <t>Good spells of sunshine, and becoming quite mild too. Turning cold and clear later.</t>
  </si>
  <si>
    <t>A frosty start to the day, then bright with some sunny spells. Some showery rai overnight.</t>
  </si>
  <si>
    <t>Nov</t>
  </si>
  <si>
    <t>Calm</t>
  </si>
  <si>
    <t>WSW1</t>
  </si>
  <si>
    <t>WSW4</t>
  </si>
  <si>
    <t>N2</t>
  </si>
  <si>
    <t>Wet and often windy, with squally wintry showers and some gusty winds. Feeling cold.</t>
  </si>
  <si>
    <t>A cold, bright day with sunshine. Clear and very cold by evening, but milder later in night.</t>
  </si>
  <si>
    <t>Cloudy and dull with a few light outberaks of rain at times. Temperatures about average.</t>
  </si>
  <si>
    <t>An early ground frost, but then mostly cloudy and reklatively mild.</t>
  </si>
  <si>
    <t>A dull day with a good deal of cloud. Becoming milder than recent days.</t>
  </si>
  <si>
    <t>A cold start early on, with a frost, then generally cloudy and cold through the day.</t>
  </si>
  <si>
    <t>NNW2</t>
  </si>
  <si>
    <t xml:space="preserve">Cloudy and damp, but becoming brighter later. Turning clear and cold by evening. </t>
  </si>
  <si>
    <t>A bright day on the whole with some sunshine, after a frost. Turning clear and cold later.</t>
  </si>
  <si>
    <t>WNE1</t>
  </si>
  <si>
    <t>NNW1</t>
  </si>
  <si>
    <t>SW</t>
  </si>
  <si>
    <t>S1</t>
  </si>
  <si>
    <t>W4</t>
  </si>
  <si>
    <t>Bright and breezy with some sunshine. Feeling cold, but temperatures about average.</t>
  </si>
  <si>
    <t>Milder, but rather cloudy. A few spots of rain later, and turning windy and colder by evening.</t>
  </si>
  <si>
    <t>An early ground frost, then generally cloudy with temperatures eventually recovering.</t>
  </si>
  <si>
    <t>Much milder today, but withb a lot of cloud. Temperatures rising well into double figures.</t>
  </si>
  <si>
    <t>A sharp frost, the cold and bright, but inreasing cloud. Temperatures rising overnight.</t>
  </si>
  <si>
    <t>A touch of ground frost, then bright spells. Feeling rather cold through the day.</t>
  </si>
  <si>
    <t>Less cold, but rather cloudy during daylight hours. Not especially windy.</t>
  </si>
  <si>
    <t>A sharp frost first thing, then a generally bright day but temperatures struggling.</t>
  </si>
  <si>
    <t>Breezy, so feeling chilly, and some bright or sunny spells developing through the day.</t>
  </si>
  <si>
    <t>NOTES:</t>
  </si>
  <si>
    <t>Overall, a rather cold November with a mean of 5.6C - the lowest such mean since 2010 (4.5C). The min of -4.3C on the  23rs was also</t>
  </si>
  <si>
    <t xml:space="preserve">the lowest November temperature since the same year. The absolute max of 13.4C was the lowest such figure for this month on record! </t>
  </si>
  <si>
    <t xml:space="preserve">Overall it was a little on the dry side, but only the driest since 2011. However, with just 12 days of rain, this was the least since 2001!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</si>
</sst>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7" borderId="0" applyNumberFormat="0" applyBorder="0" applyAlignment="0" applyProtection="0"/>
    <xf numFmtId="0" fontId="0" fillId="4" borderId="7" applyNumberFormat="0" applyFont="0" applyAlignment="0" applyProtection="0"/>
    <xf numFmtId="0" fontId="24" fillId="16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16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Continuous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0" xfId="0" applyNumberFormat="1" applyBorder="1" applyAlignment="1">
      <alignment horizontal="center"/>
    </xf>
    <xf numFmtId="0" fontId="0" fillId="0" borderId="14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0" fillId="16" borderId="33" xfId="0" applyFill="1" applyBorder="1" applyAlignment="1">
      <alignment horizontal="center"/>
    </xf>
    <xf numFmtId="165" fontId="0" fillId="16" borderId="34" xfId="0" applyNumberFormat="1" applyFill="1" applyBorder="1" applyAlignment="1">
      <alignment horizontal="center"/>
    </xf>
    <xf numFmtId="165" fontId="0" fillId="16" borderId="22" xfId="0" applyNumberFormat="1" applyFill="1" applyBorder="1" applyAlignment="1">
      <alignment horizontal="center"/>
    </xf>
    <xf numFmtId="165" fontId="0" fillId="16" borderId="23" xfId="0" applyNumberFormat="1" applyFill="1" applyBorder="1" applyAlignment="1">
      <alignment horizontal="center"/>
    </xf>
    <xf numFmtId="165" fontId="0" fillId="16" borderId="33" xfId="0" applyNumberFormat="1" applyFill="1" applyBorder="1" applyAlignment="1">
      <alignment horizontal="center"/>
    </xf>
    <xf numFmtId="165" fontId="0" fillId="16" borderId="35" xfId="0" applyNumberFormat="1" applyFill="1" applyBorder="1" applyAlignment="1">
      <alignment horizontal="center"/>
    </xf>
    <xf numFmtId="49" fontId="0" fillId="16" borderId="34" xfId="0" applyNumberFormat="1" applyFill="1" applyBorder="1" applyAlignment="1">
      <alignment horizontal="center"/>
    </xf>
    <xf numFmtId="166" fontId="0" fillId="16" borderId="23" xfId="0" applyNumberFormat="1" applyFill="1" applyBorder="1" applyAlignment="1">
      <alignment horizontal="center"/>
    </xf>
    <xf numFmtId="166" fontId="0" fillId="16" borderId="33" xfId="0" applyNumberFormat="1" applyFill="1" applyBorder="1" applyAlignment="1">
      <alignment horizontal="center"/>
    </xf>
    <xf numFmtId="0" fontId="0" fillId="16" borderId="20" xfId="0" applyFill="1" applyBorder="1" applyAlignment="1">
      <alignment horizontal="center"/>
    </xf>
    <xf numFmtId="165" fontId="0" fillId="16" borderId="15" xfId="0" applyNumberFormat="1" applyFill="1" applyBorder="1" applyAlignment="1">
      <alignment horizontal="center"/>
    </xf>
    <xf numFmtId="165" fontId="0" fillId="16" borderId="10" xfId="0" applyNumberFormat="1" applyFill="1" applyBorder="1" applyAlignment="1">
      <alignment horizontal="center"/>
    </xf>
    <xf numFmtId="165" fontId="0" fillId="16" borderId="18" xfId="0" applyNumberFormat="1" applyFill="1" applyBorder="1" applyAlignment="1">
      <alignment horizontal="center"/>
    </xf>
    <xf numFmtId="165" fontId="0" fillId="16" borderId="20" xfId="0" applyNumberFormat="1" applyFill="1" applyBorder="1" applyAlignment="1">
      <alignment horizontal="center"/>
    </xf>
    <xf numFmtId="165" fontId="0" fillId="16" borderId="29" xfId="0" applyNumberFormat="1" applyFill="1" applyBorder="1" applyAlignment="1">
      <alignment horizontal="center"/>
    </xf>
    <xf numFmtId="49" fontId="0" fillId="16" borderId="15" xfId="0" applyNumberFormat="1" applyFill="1" applyBorder="1" applyAlignment="1">
      <alignment horizontal="center"/>
    </xf>
    <xf numFmtId="166" fontId="0" fillId="16" borderId="18" xfId="0" applyNumberFormat="1" applyFill="1" applyBorder="1" applyAlignment="1">
      <alignment horizontal="center"/>
    </xf>
    <xf numFmtId="166" fontId="0" fillId="16" borderId="20" xfId="0" applyNumberFormat="1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165" fontId="0" fillId="16" borderId="16" xfId="0" applyNumberFormat="1" applyFill="1" applyBorder="1" applyAlignment="1">
      <alignment horizontal="center"/>
    </xf>
    <xf numFmtId="165" fontId="0" fillId="16" borderId="12" xfId="0" applyNumberFormat="1" applyFill="1" applyBorder="1" applyAlignment="1">
      <alignment horizontal="center"/>
    </xf>
    <xf numFmtId="165" fontId="0" fillId="16" borderId="13" xfId="0" applyNumberFormat="1" applyFill="1" applyBorder="1" applyAlignment="1">
      <alignment horizontal="center"/>
    </xf>
    <xf numFmtId="165" fontId="0" fillId="16" borderId="21" xfId="0" applyNumberFormat="1" applyFill="1" applyBorder="1" applyAlignment="1">
      <alignment horizontal="center"/>
    </xf>
    <xf numFmtId="165" fontId="0" fillId="16" borderId="30" xfId="0" applyNumberFormat="1" applyFill="1" applyBorder="1" applyAlignment="1">
      <alignment horizontal="center"/>
    </xf>
    <xf numFmtId="0" fontId="0" fillId="16" borderId="36" xfId="0" applyFill="1" applyBorder="1" applyAlignment="1">
      <alignment/>
    </xf>
    <xf numFmtId="0" fontId="0" fillId="16" borderId="36" xfId="0" applyFill="1" applyBorder="1" applyAlignment="1">
      <alignment/>
    </xf>
    <xf numFmtId="0" fontId="0" fillId="16" borderId="37" xfId="0" applyFill="1" applyBorder="1" applyAlignment="1">
      <alignment/>
    </xf>
    <xf numFmtId="0" fontId="0" fillId="16" borderId="38" xfId="0" applyFill="1" applyBorder="1" applyAlignment="1">
      <alignment/>
    </xf>
    <xf numFmtId="0" fontId="0" fillId="16" borderId="38" xfId="0" applyFill="1" applyBorder="1" applyAlignment="1">
      <alignment/>
    </xf>
    <xf numFmtId="0" fontId="0" fillId="16" borderId="39" xfId="0" applyFill="1" applyBorder="1" applyAlignment="1">
      <alignment/>
    </xf>
    <xf numFmtId="0" fontId="0" fillId="16" borderId="40" xfId="0" applyFill="1" applyBorder="1" applyAlignment="1">
      <alignment/>
    </xf>
    <xf numFmtId="0" fontId="0" fillId="16" borderId="41" xfId="0" applyFill="1" applyBorder="1" applyAlignment="1">
      <alignment/>
    </xf>
    <xf numFmtId="0" fontId="0" fillId="16" borderId="42" xfId="0" applyFill="1" applyBorder="1" applyAlignment="1">
      <alignment/>
    </xf>
    <xf numFmtId="0" fontId="0" fillId="16" borderId="43" xfId="0" applyFill="1" applyBorder="1" applyAlignment="1">
      <alignment/>
    </xf>
    <xf numFmtId="0" fontId="0" fillId="16" borderId="43" xfId="0" applyFill="1" applyBorder="1" applyAlignment="1">
      <alignment/>
    </xf>
    <xf numFmtId="0" fontId="0" fillId="16" borderId="44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6" xfId="0" applyFill="1" applyBorder="1" applyAlignment="1">
      <alignment horizontal="centerContinuous"/>
    </xf>
    <xf numFmtId="0" fontId="0" fillId="0" borderId="2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16" borderId="48" xfId="0" applyFill="1" applyBorder="1" applyAlignment="1">
      <alignment horizontal="center"/>
    </xf>
    <xf numFmtId="165" fontId="0" fillId="16" borderId="49" xfId="0" applyNumberFormat="1" applyFill="1" applyBorder="1" applyAlignment="1">
      <alignment horizontal="center"/>
    </xf>
    <xf numFmtId="165" fontId="0" fillId="16" borderId="50" xfId="0" applyNumberFormat="1" applyFill="1" applyBorder="1" applyAlignment="1">
      <alignment horizontal="center"/>
    </xf>
    <xf numFmtId="165" fontId="0" fillId="16" borderId="51" xfId="0" applyNumberFormat="1" applyFill="1" applyBorder="1" applyAlignment="1">
      <alignment horizontal="center"/>
    </xf>
    <xf numFmtId="165" fontId="0" fillId="16" borderId="48" xfId="0" applyNumberFormat="1" applyFill="1" applyBorder="1" applyAlignment="1">
      <alignment horizontal="center"/>
    </xf>
    <xf numFmtId="165" fontId="0" fillId="16" borderId="52" xfId="0" applyNumberFormat="1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165" fontId="0" fillId="16" borderId="14" xfId="0" applyNumberFormat="1" applyFill="1" applyBorder="1" applyAlignment="1">
      <alignment horizontal="center"/>
    </xf>
    <xf numFmtId="165" fontId="0" fillId="16" borderId="11" xfId="0" applyNumberFormat="1" applyFill="1" applyBorder="1" applyAlignment="1">
      <alignment horizontal="center"/>
    </xf>
    <xf numFmtId="165" fontId="0" fillId="16" borderId="17" xfId="0" applyNumberFormat="1" applyFill="1" applyBorder="1" applyAlignment="1">
      <alignment horizontal="center"/>
    </xf>
    <xf numFmtId="165" fontId="0" fillId="16" borderId="19" xfId="0" applyNumberFormat="1" applyFill="1" applyBorder="1" applyAlignment="1">
      <alignment horizontal="center"/>
    </xf>
    <xf numFmtId="165" fontId="0" fillId="16" borderId="28" xfId="0" applyNumberFormat="1" applyFill="1" applyBorder="1" applyAlignment="1">
      <alignment horizontal="center"/>
    </xf>
    <xf numFmtId="166" fontId="0" fillId="16" borderId="17" xfId="0" applyNumberFormat="1" applyFill="1" applyBorder="1" applyAlignment="1">
      <alignment horizontal="center"/>
    </xf>
    <xf numFmtId="166" fontId="0" fillId="16" borderId="53" xfId="0" applyNumberFormat="1" applyFill="1" applyBorder="1" applyAlignment="1">
      <alignment horizontal="center"/>
    </xf>
    <xf numFmtId="165" fontId="0" fillId="16" borderId="54" xfId="0" applyNumberFormat="1" applyFill="1" applyBorder="1" applyAlignment="1">
      <alignment horizontal="center"/>
    </xf>
    <xf numFmtId="165" fontId="0" fillId="16" borderId="55" xfId="0" applyNumberFormat="1" applyFill="1" applyBorder="1" applyAlignment="1">
      <alignment horizontal="center"/>
    </xf>
    <xf numFmtId="165" fontId="0" fillId="16" borderId="56" xfId="0" applyNumberFormat="1" applyFill="1" applyBorder="1" applyAlignment="1">
      <alignment horizontal="center"/>
    </xf>
    <xf numFmtId="165" fontId="0" fillId="16" borderId="40" xfId="0" applyNumberFormat="1" applyFill="1" applyBorder="1" applyAlignment="1">
      <alignment horizontal="center"/>
    </xf>
    <xf numFmtId="165" fontId="0" fillId="16" borderId="42" xfId="0" applyNumberForma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48" xfId="0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 textRotation="90"/>
    </xf>
    <xf numFmtId="0" fontId="0" fillId="0" borderId="32" xfId="0" applyBorder="1" applyAlignment="1">
      <alignment textRotation="90"/>
    </xf>
    <xf numFmtId="0" fontId="0" fillId="0" borderId="57" xfId="0" applyBorder="1" applyAlignment="1">
      <alignment/>
    </xf>
    <xf numFmtId="0" fontId="0" fillId="0" borderId="40" xfId="0" applyBorder="1" applyAlignment="1">
      <alignment/>
    </xf>
    <xf numFmtId="0" fontId="0" fillId="0" borderId="58" xfId="0" applyBorder="1" applyAlignment="1">
      <alignment/>
    </xf>
    <xf numFmtId="0" fontId="0" fillId="0" borderId="42" xfId="0" applyBorder="1" applyAlignment="1">
      <alignment/>
    </xf>
    <xf numFmtId="0" fontId="0" fillId="0" borderId="59" xfId="0" applyBorder="1" applyAlignment="1">
      <alignment/>
    </xf>
    <xf numFmtId="165" fontId="0" fillId="16" borderId="60" xfId="0" applyNumberFormat="1" applyFill="1" applyBorder="1" applyAlignment="1">
      <alignment horizontal="center"/>
    </xf>
    <xf numFmtId="165" fontId="0" fillId="16" borderId="39" xfId="0" applyNumberFormat="1" applyFill="1" applyBorder="1" applyAlignment="1">
      <alignment horizontal="center"/>
    </xf>
    <xf numFmtId="165" fontId="0" fillId="16" borderId="61" xfId="0" applyNumberFormat="1" applyFill="1" applyBorder="1" applyAlignment="1">
      <alignment horizontal="center"/>
    </xf>
    <xf numFmtId="165" fontId="0" fillId="16" borderId="62" xfId="0" applyNumberForma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32" xfId="0" applyFill="1" applyBorder="1" applyAlignment="1">
      <alignment horizontal="center" textRotation="90"/>
    </xf>
    <xf numFmtId="0" fontId="0" fillId="0" borderId="45" xfId="0" applyFill="1" applyBorder="1" applyAlignment="1">
      <alignment horizontal="center" textRotation="90"/>
    </xf>
    <xf numFmtId="0" fontId="0" fillId="0" borderId="39" xfId="0" applyFill="1" applyBorder="1" applyAlignment="1">
      <alignment horizontal="center" textRotation="90"/>
    </xf>
    <xf numFmtId="0" fontId="0" fillId="0" borderId="41" xfId="0" applyFill="1" applyBorder="1" applyAlignment="1">
      <alignment horizontal="center" textRotation="90"/>
    </xf>
    <xf numFmtId="0" fontId="0" fillId="0" borderId="44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75"/>
          <c:w val="0.88475"/>
          <c:h val="0.8355"/>
        </c:manualLayout>
      </c:layout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12.2</c:v>
                </c:pt>
                <c:pt idx="1">
                  <c:v>12.3</c:v>
                </c:pt>
                <c:pt idx="2">
                  <c:v>11</c:v>
                </c:pt>
                <c:pt idx="3">
                  <c:v>10.3</c:v>
                </c:pt>
                <c:pt idx="4">
                  <c:v>10.2</c:v>
                </c:pt>
                <c:pt idx="5">
                  <c:v>13.4</c:v>
                </c:pt>
                <c:pt idx="6">
                  <c:v>9.8</c:v>
                </c:pt>
                <c:pt idx="7">
                  <c:v>7.9</c:v>
                </c:pt>
                <c:pt idx="8">
                  <c:v>7.1</c:v>
                </c:pt>
                <c:pt idx="9">
                  <c:v>9.3</c:v>
                </c:pt>
                <c:pt idx="10">
                  <c:v>13.1</c:v>
                </c:pt>
                <c:pt idx="11">
                  <c:v>11.9</c:v>
                </c:pt>
                <c:pt idx="12">
                  <c:v>9.4</c:v>
                </c:pt>
                <c:pt idx="13">
                  <c:v>8.9</c:v>
                </c:pt>
                <c:pt idx="14">
                  <c:v>8.5</c:v>
                </c:pt>
                <c:pt idx="15">
                  <c:v>10.2</c:v>
                </c:pt>
                <c:pt idx="16">
                  <c:v>10.8</c:v>
                </c:pt>
                <c:pt idx="17">
                  <c:v>9</c:v>
                </c:pt>
                <c:pt idx="18">
                  <c:v>6.4</c:v>
                </c:pt>
                <c:pt idx="19">
                  <c:v>6.8</c:v>
                </c:pt>
                <c:pt idx="20">
                  <c:v>8</c:v>
                </c:pt>
                <c:pt idx="21">
                  <c:v>7.3</c:v>
                </c:pt>
                <c:pt idx="22">
                  <c:v>4.5</c:v>
                </c:pt>
                <c:pt idx="23">
                  <c:v>7.7</c:v>
                </c:pt>
                <c:pt idx="24">
                  <c:v>6.6</c:v>
                </c:pt>
                <c:pt idx="25">
                  <c:v>10</c:v>
                </c:pt>
                <c:pt idx="26">
                  <c:v>11.9</c:v>
                </c:pt>
                <c:pt idx="27">
                  <c:v>9.3</c:v>
                </c:pt>
                <c:pt idx="28">
                  <c:v>9.2</c:v>
                </c:pt>
                <c:pt idx="29">
                  <c:v>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7.7</c:v>
                </c:pt>
                <c:pt idx="1">
                  <c:v>6.6</c:v>
                </c:pt>
                <c:pt idx="2">
                  <c:v>5.2</c:v>
                </c:pt>
                <c:pt idx="3">
                  <c:v>0.9</c:v>
                </c:pt>
                <c:pt idx="4">
                  <c:v>2.6</c:v>
                </c:pt>
                <c:pt idx="5">
                  <c:v>6.9</c:v>
                </c:pt>
                <c:pt idx="6">
                  <c:v>5.5</c:v>
                </c:pt>
                <c:pt idx="7">
                  <c:v>3.3</c:v>
                </c:pt>
                <c:pt idx="8">
                  <c:v>1.4</c:v>
                </c:pt>
                <c:pt idx="9">
                  <c:v>0.9</c:v>
                </c:pt>
                <c:pt idx="10">
                  <c:v>1</c:v>
                </c:pt>
                <c:pt idx="11">
                  <c:v>7</c:v>
                </c:pt>
                <c:pt idx="12">
                  <c:v>-0.9</c:v>
                </c:pt>
                <c:pt idx="13">
                  <c:v>2.2</c:v>
                </c:pt>
                <c:pt idx="14">
                  <c:v>-2.1</c:v>
                </c:pt>
                <c:pt idx="15">
                  <c:v>2</c:v>
                </c:pt>
                <c:pt idx="16">
                  <c:v>3.1</c:v>
                </c:pt>
                <c:pt idx="17">
                  <c:v>7.1</c:v>
                </c:pt>
                <c:pt idx="18">
                  <c:v>0.7</c:v>
                </c:pt>
                <c:pt idx="19">
                  <c:v>-2.9</c:v>
                </c:pt>
                <c:pt idx="20">
                  <c:v>2.5</c:v>
                </c:pt>
                <c:pt idx="21">
                  <c:v>-1.1</c:v>
                </c:pt>
                <c:pt idx="22">
                  <c:v>-4.3</c:v>
                </c:pt>
                <c:pt idx="23">
                  <c:v>-3.5</c:v>
                </c:pt>
                <c:pt idx="24">
                  <c:v>1.2</c:v>
                </c:pt>
                <c:pt idx="25">
                  <c:v>-3.7</c:v>
                </c:pt>
                <c:pt idx="26">
                  <c:v>-0.9</c:v>
                </c:pt>
                <c:pt idx="27">
                  <c:v>0.8</c:v>
                </c:pt>
                <c:pt idx="28">
                  <c:v>4.8</c:v>
                </c:pt>
                <c:pt idx="29">
                  <c:v>1</c:v>
                </c:pt>
              </c:numCache>
            </c:numRef>
          </c:val>
          <c:smooth val="0"/>
        </c:ser>
        <c:marker val="1"/>
        <c:axId val="16030289"/>
        <c:axId val="10054874"/>
      </c:lineChart>
      <c:catAx>
        <c:axId val="16030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54874"/>
        <c:crosses val="autoZero"/>
        <c:auto val="1"/>
        <c:lblOffset val="100"/>
        <c:tickLblSkip val="1"/>
        <c:noMultiLvlLbl val="0"/>
      </c:catAx>
      <c:valAx>
        <c:axId val="10054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302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75"/>
          <c:y val="0.48825"/>
          <c:w val="0.0652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25"/>
          <c:y val="0.0965"/>
          <c:w val="0.902"/>
          <c:h val="0.8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7.5</c:v>
                </c:pt>
                <c:pt idx="1">
                  <c:v>0.1</c:v>
                </c:pt>
                <c:pt idx="2">
                  <c:v>0.5</c:v>
                </c:pt>
                <c:pt idx="3">
                  <c:v>2.2</c:v>
                </c:pt>
                <c:pt idx="4">
                  <c:v>7.3</c:v>
                </c:pt>
                <c:pt idx="5">
                  <c:v>10.7</c:v>
                </c:pt>
                <c:pt idx="6">
                  <c:v>0.1</c:v>
                </c:pt>
                <c:pt idx="7">
                  <c:v>3.4</c:v>
                </c:pt>
                <c:pt idx="8">
                  <c:v>0</c:v>
                </c:pt>
                <c:pt idx="9">
                  <c:v>1</c:v>
                </c:pt>
                <c:pt idx="10">
                  <c:v>7.3</c:v>
                </c:pt>
                <c:pt idx="11">
                  <c:v>0</c:v>
                </c:pt>
                <c:pt idx="12">
                  <c:v>0.8</c:v>
                </c:pt>
                <c:pt idx="13">
                  <c:v>0</c:v>
                </c:pt>
                <c:pt idx="14">
                  <c:v>0.1</c:v>
                </c:pt>
                <c:pt idx="15">
                  <c:v>0</c:v>
                </c:pt>
                <c:pt idx="16">
                  <c:v>0</c:v>
                </c:pt>
                <c:pt idx="17">
                  <c:v>0.9</c:v>
                </c:pt>
                <c:pt idx="18">
                  <c:v>1.3</c:v>
                </c:pt>
                <c:pt idx="19">
                  <c:v>7.3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23385003"/>
        <c:axId val="9138436"/>
      </c:barChart>
      <c:catAx>
        <c:axId val="23385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38436"/>
        <c:crosses val="autoZero"/>
        <c:auto val="1"/>
        <c:lblOffset val="100"/>
        <c:tickLblSkip val="1"/>
        <c:noMultiLvlLbl val="0"/>
      </c:catAx>
      <c:valAx>
        <c:axId val="9138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850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825"/>
          <c:y val="0.48475"/>
          <c:w val="0.048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25"/>
          <c:y val="0.0965"/>
          <c:w val="0.90475"/>
          <c:h val="0.8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0</c:v>
                </c:pt>
                <c:pt idx="1">
                  <c:v>0.7</c:v>
                </c:pt>
                <c:pt idx="2">
                  <c:v>2</c:v>
                </c:pt>
                <c:pt idx="3">
                  <c:v>3.5</c:v>
                </c:pt>
                <c:pt idx="4">
                  <c:v>0.5</c:v>
                </c:pt>
                <c:pt idx="5">
                  <c:v>0</c:v>
                </c:pt>
                <c:pt idx="6">
                  <c:v>2.4</c:v>
                </c:pt>
                <c:pt idx="7">
                  <c:v>0.4</c:v>
                </c:pt>
                <c:pt idx="8">
                  <c:v>0.3</c:v>
                </c:pt>
                <c:pt idx="9">
                  <c:v>5.2</c:v>
                </c:pt>
                <c:pt idx="10">
                  <c:v>0</c:v>
                </c:pt>
                <c:pt idx="11">
                  <c:v>3.2</c:v>
                </c:pt>
                <c:pt idx="12">
                  <c:v>2.9</c:v>
                </c:pt>
                <c:pt idx="13">
                  <c:v>3.5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4.5</c:v>
                </c:pt>
                <c:pt idx="19">
                  <c:v>2.8</c:v>
                </c:pt>
                <c:pt idx="20">
                  <c:v>1.9</c:v>
                </c:pt>
                <c:pt idx="21">
                  <c:v>3.6</c:v>
                </c:pt>
                <c:pt idx="22">
                  <c:v>0.2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1.7</c:v>
                </c:pt>
                <c:pt idx="27">
                  <c:v>0</c:v>
                </c:pt>
                <c:pt idx="28">
                  <c:v>0</c:v>
                </c:pt>
                <c:pt idx="29">
                  <c:v>3.2</c:v>
                </c:pt>
              </c:numCache>
            </c:numRef>
          </c:val>
        </c:ser>
        <c:axId val="15137061"/>
        <c:axId val="2015822"/>
      </c:barChart>
      <c:catAx>
        <c:axId val="15137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5822"/>
        <c:crosses val="autoZero"/>
        <c:auto val="1"/>
        <c:lblOffset val="100"/>
        <c:tickLblSkip val="1"/>
        <c:noMultiLvlLbl val="0"/>
      </c:catAx>
      <c:valAx>
        <c:axId val="2015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370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15"/>
          <c:y val="0.48475"/>
          <c:w val="0.044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75"/>
          <c:w val="0.87625"/>
          <c:h val="0.8355"/>
        </c:manualLayout>
      </c:layout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2.9</c:v>
                </c:pt>
                <c:pt idx="1">
                  <c:v>3.5</c:v>
                </c:pt>
                <c:pt idx="2">
                  <c:v>1.5</c:v>
                </c:pt>
                <c:pt idx="3">
                  <c:v>-3.9</c:v>
                </c:pt>
                <c:pt idx="4">
                  <c:v>-2.3</c:v>
                </c:pt>
                <c:pt idx="5">
                  <c:v>2.9</c:v>
                </c:pt>
                <c:pt idx="6">
                  <c:v>1.7</c:v>
                </c:pt>
                <c:pt idx="7">
                  <c:v>-2</c:v>
                </c:pt>
                <c:pt idx="8">
                  <c:v>-2.8</c:v>
                </c:pt>
                <c:pt idx="9">
                  <c:v>-4.1</c:v>
                </c:pt>
                <c:pt idx="10">
                  <c:v>-3.1</c:v>
                </c:pt>
                <c:pt idx="11">
                  <c:v>1.9</c:v>
                </c:pt>
                <c:pt idx="12">
                  <c:v>-4.5</c:v>
                </c:pt>
                <c:pt idx="13">
                  <c:v>0.1</c:v>
                </c:pt>
                <c:pt idx="14">
                  <c:v>-5.6</c:v>
                </c:pt>
                <c:pt idx="15">
                  <c:v>1.5</c:v>
                </c:pt>
                <c:pt idx="16">
                  <c:v>-1.9</c:v>
                </c:pt>
                <c:pt idx="17">
                  <c:v>5</c:v>
                </c:pt>
                <c:pt idx="18">
                  <c:v>-1.9</c:v>
                </c:pt>
                <c:pt idx="19">
                  <c:v>-7.4</c:v>
                </c:pt>
                <c:pt idx="20">
                  <c:v>0.1</c:v>
                </c:pt>
                <c:pt idx="21">
                  <c:v>-6</c:v>
                </c:pt>
                <c:pt idx="22">
                  <c:v>-8.2</c:v>
                </c:pt>
                <c:pt idx="23">
                  <c:v>-2.1</c:v>
                </c:pt>
                <c:pt idx="24">
                  <c:v>-3.9</c:v>
                </c:pt>
                <c:pt idx="25">
                  <c:v>-7.5</c:v>
                </c:pt>
                <c:pt idx="26">
                  <c:v>-0.9</c:v>
                </c:pt>
                <c:pt idx="27">
                  <c:v>-3.6</c:v>
                </c:pt>
                <c:pt idx="28">
                  <c:v>2.4</c:v>
                </c:pt>
                <c:pt idx="29">
                  <c:v>-3.4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18142399"/>
        <c:axId val="29063864"/>
      </c:lineChart>
      <c:catAx>
        <c:axId val="18142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63864"/>
        <c:crosses val="autoZero"/>
        <c:auto val="1"/>
        <c:lblOffset val="100"/>
        <c:tickLblSkip val="1"/>
        <c:noMultiLvlLbl val="0"/>
      </c:catAx>
      <c:valAx>
        <c:axId val="29063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423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25"/>
          <c:y val="0.48825"/>
          <c:w val="0.073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10cm and 20cm soil.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75"/>
          <c:w val="0.879"/>
          <c:h val="0.8355"/>
        </c:manualLayout>
      </c:layout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8.9</c:v>
                </c:pt>
                <c:pt idx="1">
                  <c:v>9.1</c:v>
                </c:pt>
                <c:pt idx="2">
                  <c:v>7.6</c:v>
                </c:pt>
                <c:pt idx="3">
                  <c:v>4.4</c:v>
                </c:pt>
                <c:pt idx="4">
                  <c:v>5.9</c:v>
                </c:pt>
                <c:pt idx="5">
                  <c:v>7.5</c:v>
                </c:pt>
                <c:pt idx="6">
                  <c:v>6.2</c:v>
                </c:pt>
                <c:pt idx="7">
                  <c:v>4.9</c:v>
                </c:pt>
                <c:pt idx="8">
                  <c:v>5.8</c:v>
                </c:pt>
                <c:pt idx="9">
                  <c:v>3</c:v>
                </c:pt>
                <c:pt idx="10">
                  <c:v>6.7</c:v>
                </c:pt>
                <c:pt idx="11">
                  <c:v>7.9</c:v>
                </c:pt>
                <c:pt idx="12">
                  <c:v>2.9</c:v>
                </c:pt>
                <c:pt idx="13">
                  <c:v>6.1</c:v>
                </c:pt>
                <c:pt idx="14">
                  <c:v>2.7</c:v>
                </c:pt>
                <c:pt idx="15">
                  <c:v>8.3</c:v>
                </c:pt>
                <c:pt idx="16">
                  <c:v>9</c:v>
                </c:pt>
                <c:pt idx="17">
                  <c:v>8.6</c:v>
                </c:pt>
                <c:pt idx="18">
                  <c:v>3.2</c:v>
                </c:pt>
                <c:pt idx="19">
                  <c:v>4.6</c:v>
                </c:pt>
                <c:pt idx="20">
                  <c:v>5.1</c:v>
                </c:pt>
                <c:pt idx="21">
                  <c:v>1.3</c:v>
                </c:pt>
                <c:pt idx="22">
                  <c:v>1</c:v>
                </c:pt>
                <c:pt idx="23">
                  <c:v>5.8</c:v>
                </c:pt>
                <c:pt idx="24">
                  <c:v>3.9</c:v>
                </c:pt>
                <c:pt idx="25">
                  <c:v>1</c:v>
                </c:pt>
                <c:pt idx="26">
                  <c:v>7.4</c:v>
                </c:pt>
                <c:pt idx="27">
                  <c:v>4.7</c:v>
                </c:pt>
                <c:pt idx="28">
                  <c:v>6.9</c:v>
                </c:pt>
                <c:pt idx="29">
                  <c:v>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9.2</c:v>
                </c:pt>
                <c:pt idx="1">
                  <c:v>10</c:v>
                </c:pt>
                <c:pt idx="2">
                  <c:v>8</c:v>
                </c:pt>
                <c:pt idx="3">
                  <c:v>6.5</c:v>
                </c:pt>
                <c:pt idx="4">
                  <c:v>6.8</c:v>
                </c:pt>
                <c:pt idx="5">
                  <c:v>8</c:v>
                </c:pt>
                <c:pt idx="6">
                  <c:v>7.9</c:v>
                </c:pt>
                <c:pt idx="7">
                  <c:v>6.2</c:v>
                </c:pt>
                <c:pt idx="8">
                  <c:v>6</c:v>
                </c:pt>
                <c:pt idx="9">
                  <c:v>5</c:v>
                </c:pt>
                <c:pt idx="10">
                  <c:v>6.6</c:v>
                </c:pt>
                <c:pt idx="11">
                  <c:v>9</c:v>
                </c:pt>
                <c:pt idx="12">
                  <c:v>4.7</c:v>
                </c:pt>
                <c:pt idx="13">
                  <c:v>7</c:v>
                </c:pt>
                <c:pt idx="14">
                  <c:v>4</c:v>
                </c:pt>
                <c:pt idx="15">
                  <c:v>8</c:v>
                </c:pt>
                <c:pt idx="16">
                  <c:v>8</c:v>
                </c:pt>
                <c:pt idx="17">
                  <c:v>8.7</c:v>
                </c:pt>
                <c:pt idx="18">
                  <c:v>5.7</c:v>
                </c:pt>
                <c:pt idx="19">
                  <c:v>5.3</c:v>
                </c:pt>
                <c:pt idx="20">
                  <c:v>5.9</c:v>
                </c:pt>
                <c:pt idx="21">
                  <c:v>2.8</c:v>
                </c:pt>
                <c:pt idx="22">
                  <c:v>2.7</c:v>
                </c:pt>
                <c:pt idx="23">
                  <c:v>5.2</c:v>
                </c:pt>
                <c:pt idx="24">
                  <c:v>4.4</c:v>
                </c:pt>
                <c:pt idx="25">
                  <c:v>2.7</c:v>
                </c:pt>
                <c:pt idx="26">
                  <c:v>7</c:v>
                </c:pt>
                <c:pt idx="27">
                  <c:v>5.4</c:v>
                </c:pt>
                <c:pt idx="28">
                  <c:v>7.3</c:v>
                </c:pt>
                <c:pt idx="29">
                  <c:v>4.4</c:v>
                </c:pt>
              </c:numCache>
            </c:numRef>
          </c:val>
          <c:smooth val="0"/>
        </c:ser>
        <c:marker val="1"/>
        <c:axId val="60248185"/>
        <c:axId val="5362754"/>
      </c:lineChart>
      <c:catAx>
        <c:axId val="60248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2754"/>
        <c:crosses val="autoZero"/>
        <c:auto val="1"/>
        <c:lblOffset val="100"/>
        <c:tickLblSkip val="1"/>
        <c:noMultiLvlLbl val="0"/>
      </c:catAx>
      <c:valAx>
        <c:axId val="5362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481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7125"/>
          <c:w val="0.0702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75"/>
          <c:w val="0.8705"/>
          <c:h val="0.8355"/>
        </c:manualLayout>
      </c:layout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12.5</c:v>
                </c:pt>
                <c:pt idx="1">
                  <c:v>12.4</c:v>
                </c:pt>
                <c:pt idx="2">
                  <c:v>12.3</c:v>
                </c:pt>
                <c:pt idx="3">
                  <c:v>12.1</c:v>
                </c:pt>
                <c:pt idx="4">
                  <c:v>12</c:v>
                </c:pt>
                <c:pt idx="5">
                  <c:v>11.8</c:v>
                </c:pt>
                <c:pt idx="6">
                  <c:v>11.6</c:v>
                </c:pt>
                <c:pt idx="7">
                  <c:v>11.2</c:v>
                </c:pt>
                <c:pt idx="8">
                  <c:v>11.3</c:v>
                </c:pt>
                <c:pt idx="9">
                  <c:v>11.1</c:v>
                </c:pt>
                <c:pt idx="10">
                  <c:v>11</c:v>
                </c:pt>
                <c:pt idx="11">
                  <c:v>10.8</c:v>
                </c:pt>
                <c:pt idx="12">
                  <c:v>10.9</c:v>
                </c:pt>
                <c:pt idx="13">
                  <c:v>10.5</c:v>
                </c:pt>
                <c:pt idx="14">
                  <c:v>10.7</c:v>
                </c:pt>
                <c:pt idx="15">
                  <c:v>10.4</c:v>
                </c:pt>
                <c:pt idx="16">
                  <c:v>10.4</c:v>
                </c:pt>
                <c:pt idx="17">
                  <c:v>10.4</c:v>
                </c:pt>
                <c:pt idx="18">
                  <c:v>10.5</c:v>
                </c:pt>
                <c:pt idx="19">
                  <c:v>10.4</c:v>
                </c:pt>
                <c:pt idx="20">
                  <c:v>10.1</c:v>
                </c:pt>
                <c:pt idx="21">
                  <c:v>10</c:v>
                </c:pt>
                <c:pt idx="22">
                  <c:v>9.7</c:v>
                </c:pt>
                <c:pt idx="23">
                  <c:v>9.5</c:v>
                </c:pt>
                <c:pt idx="24">
                  <c:v>9.3</c:v>
                </c:pt>
                <c:pt idx="25">
                  <c:v>9.2</c:v>
                </c:pt>
                <c:pt idx="26">
                  <c:v>9.1</c:v>
                </c:pt>
                <c:pt idx="27">
                  <c:v>9.1</c:v>
                </c:pt>
                <c:pt idx="28">
                  <c:v>9.1</c:v>
                </c:pt>
                <c:pt idx="29">
                  <c:v>9.1</c:v>
                </c:pt>
              </c:numCache>
            </c:numRef>
          </c:val>
          <c:smooth val="0"/>
        </c:ser>
        <c:marker val="1"/>
        <c:axId val="48264787"/>
        <c:axId val="31729900"/>
      </c:lineChart>
      <c:catAx>
        <c:axId val="48264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29900"/>
        <c:crosses val="autoZero"/>
        <c:auto val="1"/>
        <c:lblOffset val="100"/>
        <c:tickLblSkip val="1"/>
        <c:noMultiLvlLbl val="0"/>
      </c:catAx>
      <c:valAx>
        <c:axId val="31729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647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25"/>
          <c:y val="0.47125"/>
          <c:w val="0.078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MSL Pressure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75"/>
          <c:w val="0.88375"/>
          <c:h val="0.8355"/>
        </c:manualLayout>
      </c:layout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1009.4927721286256</c:v>
                </c:pt>
                <c:pt idx="1">
                  <c:v>998.5314008869218</c:v>
                </c:pt>
                <c:pt idx="2">
                  <c:v>997.7892737341041</c:v>
                </c:pt>
                <c:pt idx="3">
                  <c:v>992.1114369408222</c:v>
                </c:pt>
                <c:pt idx="4">
                  <c:v>988.991296270418</c:v>
                </c:pt>
                <c:pt idx="5">
                  <c:v>998.3439667305347</c:v>
                </c:pt>
                <c:pt idx="6">
                  <c:v>1005.2925313894463</c:v>
                </c:pt>
                <c:pt idx="7">
                  <c:v>1004.285828769504</c:v>
                </c:pt>
                <c:pt idx="8">
                  <c:v>1005.0724344165699</c:v>
                </c:pt>
                <c:pt idx="9">
                  <c:v>1015.5780961083785</c:v>
                </c:pt>
                <c:pt idx="10">
                  <c:v>1018.0126080028481</c:v>
                </c:pt>
                <c:pt idx="11">
                  <c:v>1024.3216983245968</c:v>
                </c:pt>
                <c:pt idx="12">
                  <c:v>1034.2386799526678</c:v>
                </c:pt>
                <c:pt idx="13">
                  <c:v>1021.7475920641957</c:v>
                </c:pt>
                <c:pt idx="14">
                  <c:v>1034.5497866081512</c:v>
                </c:pt>
                <c:pt idx="15">
                  <c:v>1032.0195885637718</c:v>
                </c:pt>
                <c:pt idx="16">
                  <c:v>1024.6248118672063</c:v>
                </c:pt>
                <c:pt idx="17">
                  <c:v>1009.8844418119077</c:v>
                </c:pt>
                <c:pt idx="18">
                  <c:v>1012.3594955516879</c:v>
                </c:pt>
                <c:pt idx="19">
                  <c:v>999.214985949647</c:v>
                </c:pt>
                <c:pt idx="20">
                  <c:v>1007.4370374274039</c:v>
                </c:pt>
                <c:pt idx="21">
                  <c:v>1020.3278073037432</c:v>
                </c:pt>
                <c:pt idx="22">
                  <c:v>1026.1805463534436</c:v>
                </c:pt>
                <c:pt idx="23">
                  <c:v>1032.7336408163785</c:v>
                </c:pt>
                <c:pt idx="24">
                  <c:v>1039.7257233276075</c:v>
                </c:pt>
                <c:pt idx="25">
                  <c:v>1040.1239261384724</c:v>
                </c:pt>
                <c:pt idx="26">
                  <c:v>1033.9383111461996</c:v>
                </c:pt>
                <c:pt idx="27">
                  <c:v>1036.359753026576</c:v>
                </c:pt>
                <c:pt idx="28">
                  <c:v>1024.7818462656696</c:v>
                </c:pt>
                <c:pt idx="29">
                  <c:v>1029.3144472700362</c:v>
                </c:pt>
              </c:numCache>
            </c:numRef>
          </c:val>
          <c:smooth val="0"/>
        </c:ser>
        <c:marker val="1"/>
        <c:axId val="17133645"/>
        <c:axId val="19985078"/>
      </c:lineChart>
      <c:catAx>
        <c:axId val="17133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85078"/>
        <c:crosses val="autoZero"/>
        <c:auto val="1"/>
        <c:lblOffset val="100"/>
        <c:tickLblSkip val="1"/>
        <c:noMultiLvlLbl val="0"/>
      </c:catAx>
      <c:valAx>
        <c:axId val="19985078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33645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075"/>
          <c:y val="0.48975"/>
          <c:w val="0.065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25"/>
          <c:y val="0.0965"/>
          <c:w val="0.85225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9.501019160457199</c:v>
                </c:pt>
                <c:pt idx="1">
                  <c:v>8.29280304790015</c:v>
                </c:pt>
                <c:pt idx="2">
                  <c:v>4.390619983337551</c:v>
                </c:pt>
                <c:pt idx="3">
                  <c:v>3.285793499422468</c:v>
                </c:pt>
                <c:pt idx="4">
                  <c:v>6.2387814596524125</c:v>
                </c:pt>
                <c:pt idx="5">
                  <c:v>7.89019446131199</c:v>
                </c:pt>
                <c:pt idx="6">
                  <c:v>5.547980537116311</c:v>
                </c:pt>
                <c:pt idx="7">
                  <c:v>5.674476237833991</c:v>
                </c:pt>
                <c:pt idx="8">
                  <c:v>3.3109415952110415</c:v>
                </c:pt>
                <c:pt idx="9">
                  <c:v>2.91283825534975</c:v>
                </c:pt>
                <c:pt idx="10">
                  <c:v>8.795964342170066</c:v>
                </c:pt>
                <c:pt idx="11">
                  <c:v>7.158147273812076</c:v>
                </c:pt>
                <c:pt idx="12">
                  <c:v>2.1999999999999993</c:v>
                </c:pt>
                <c:pt idx="13">
                  <c:v>5.031946605245614</c:v>
                </c:pt>
                <c:pt idx="14">
                  <c:v>1.7398183364858717</c:v>
                </c:pt>
                <c:pt idx="15">
                  <c:v>6.4254485980722205</c:v>
                </c:pt>
                <c:pt idx="16">
                  <c:v>6.939800337425242</c:v>
                </c:pt>
                <c:pt idx="17">
                  <c:v>6.85182845107467</c:v>
                </c:pt>
                <c:pt idx="18">
                  <c:v>0.6281411354850039</c:v>
                </c:pt>
                <c:pt idx="19">
                  <c:v>5.727476045611955</c:v>
                </c:pt>
                <c:pt idx="20">
                  <c:v>4.465965055673136</c:v>
                </c:pt>
                <c:pt idx="21">
                  <c:v>0.7610061070718966</c:v>
                </c:pt>
                <c:pt idx="22">
                  <c:v>-4.437087168608035</c:v>
                </c:pt>
                <c:pt idx="23">
                  <c:v>3.285793499422468</c:v>
                </c:pt>
                <c:pt idx="24">
                  <c:v>2.2442311342591794</c:v>
                </c:pt>
                <c:pt idx="25">
                  <c:v>-1.173930797962083</c:v>
                </c:pt>
                <c:pt idx="26">
                  <c:v>8.992001315917038</c:v>
                </c:pt>
                <c:pt idx="27">
                  <c:v>4.565658214793577</c:v>
                </c:pt>
                <c:pt idx="28">
                  <c:v>6.6423935502393</c:v>
                </c:pt>
                <c:pt idx="29">
                  <c:v>-0.44481851723153126</c:v>
                </c:pt>
              </c:numCache>
            </c:numRef>
          </c:val>
          <c:smooth val="0"/>
        </c:ser>
        <c:marker val="1"/>
        <c:axId val="45647975"/>
        <c:axId val="8178592"/>
      </c:lineChart>
      <c:catAx>
        <c:axId val="45647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0.00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78592"/>
        <c:crosses val="autoZero"/>
        <c:auto val="1"/>
        <c:lblOffset val="100"/>
        <c:tickLblSkip val="1"/>
        <c:noMultiLvlLbl val="0"/>
      </c:catAx>
      <c:valAx>
        <c:axId val="8178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479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50175"/>
          <c:w val="0.098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0.8325</cdr:x>
      <cdr:y>0.033</cdr:y>
    </cdr:from>
    <cdr:to>
      <cdr:x>0.917</cdr:x>
      <cdr:y>0.06925</cdr:y>
    </cdr:to>
    <cdr:sp textlink="Data1!$R$4">
      <cdr:nvSpPr>
        <cdr:cNvPr id="1" name="Text Box 1"/>
        <cdr:cNvSpPr txBox="1">
          <a:spLocks noChangeArrowheads="1"/>
        </cdr:cNvSpPr>
      </cdr:nvSpPr>
      <cdr:spPr>
        <a:xfrm>
          <a:off x="7743825" y="180975"/>
          <a:ext cx="790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bb00e477-7ff5-43da-b157-fb1ae7ce9acd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2013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0.79175</cdr:x>
      <cdr:y>0.029</cdr:y>
    </cdr:from>
    <cdr:to>
      <cdr:x>0.8775</cdr:x>
      <cdr:y>0.06575</cdr:y>
    </cdr:to>
    <cdr:sp textlink="Data1!$R$4">
      <cdr:nvSpPr>
        <cdr:cNvPr id="1" name="Text Box 1"/>
        <cdr:cNvSpPr txBox="1">
          <a:spLocks noChangeArrowheads="1"/>
        </cdr:cNvSpPr>
      </cdr:nvSpPr>
      <cdr:spPr>
        <a:xfrm>
          <a:off x="7362825" y="161925"/>
          <a:ext cx="800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a9a313e6-ef8a-4b66-afe9-6deb29bd6557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2013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0.80125</cdr:x>
      <cdr:y>0.03625</cdr:y>
    </cdr:from>
    <cdr:to>
      <cdr:x>0.88475</cdr:x>
      <cdr:y>0.073</cdr:y>
    </cdr:to>
    <cdr:sp textlink="Data1!$R$4">
      <cdr:nvSpPr>
        <cdr:cNvPr id="1" name="Text Box 1"/>
        <cdr:cNvSpPr txBox="1">
          <a:spLocks noChangeArrowheads="1"/>
        </cdr:cNvSpPr>
      </cdr:nvSpPr>
      <cdr:spPr>
        <a:xfrm>
          <a:off x="7448550" y="200025"/>
          <a:ext cx="7810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727f47dc-debe-4ea7-b22c-177324a180a1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2013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0.51375</cdr:y>
    </cdr:from>
    <cdr:to>
      <cdr:x>0.51275</cdr:x>
      <cdr:y>0.55275</cdr:y>
    </cdr:to>
    <cdr:sp textlink="Data1!$R$9">
      <cdr:nvSpPr>
        <cdr:cNvPr id="1" name="Text Box 3"/>
        <cdr:cNvSpPr txBox="1">
          <a:spLocks noChangeArrowheads="1"/>
        </cdr:cNvSpPr>
      </cdr:nvSpPr>
      <cdr:spPr>
        <a:xfrm>
          <a:off x="4686300" y="2933700"/>
          <a:ext cx="85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aec5281f-2748-4555-89a8-0390ca69d09d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 </a:t>
          </a:fld>
        </a:p>
      </cdr:txBody>
    </cdr:sp>
  </cdr:relSizeAnchor>
  <cdr:relSizeAnchor xmlns:cdr="http://schemas.openxmlformats.org/drawingml/2006/chartDrawing">
    <cdr:from>
      <cdr:x>0.779</cdr:x>
      <cdr:y>0.02775</cdr:y>
    </cdr:from>
    <cdr:to>
      <cdr:x>0.86425</cdr:x>
      <cdr:y>0.064</cdr:y>
    </cdr:to>
    <cdr:sp textlink="Data1!$R$4">
      <cdr:nvSpPr>
        <cdr:cNvPr id="2" name="Text Box 4"/>
        <cdr:cNvSpPr txBox="1">
          <a:spLocks noChangeArrowheads="1"/>
        </cdr:cNvSpPr>
      </cdr:nvSpPr>
      <cdr:spPr>
        <a:xfrm>
          <a:off x="7248525" y="152400"/>
          <a:ext cx="790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83fc431a-2968-4656-8ce0-c86fde1ed131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2013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</cdr:x>
      <cdr:y>0.0255</cdr:y>
    </cdr:from>
    <cdr:to>
      <cdr:x>0.92275</cdr:x>
      <cdr:y>0.062</cdr:y>
    </cdr:to>
    <cdr:sp textlink="Data1!$R$4">
      <cdr:nvSpPr>
        <cdr:cNvPr id="1" name="Text Box 1"/>
        <cdr:cNvSpPr txBox="1">
          <a:spLocks noChangeArrowheads="1"/>
        </cdr:cNvSpPr>
      </cdr:nvSpPr>
      <cdr:spPr>
        <a:xfrm>
          <a:off x="7781925" y="142875"/>
          <a:ext cx="800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2b069419-c41a-411a-8f6f-f2c084fb960e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2013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0.81525</cdr:x>
      <cdr:y>0.02775</cdr:y>
    </cdr:from>
    <cdr:to>
      <cdr:x>0.90275</cdr:x>
      <cdr:y>0.064</cdr:y>
    </cdr:to>
    <cdr:sp textlink="Data1!$R$4">
      <cdr:nvSpPr>
        <cdr:cNvPr id="1" name="Text Box 1"/>
        <cdr:cNvSpPr txBox="1">
          <a:spLocks noChangeArrowheads="1"/>
        </cdr:cNvSpPr>
      </cdr:nvSpPr>
      <cdr:spPr>
        <a:xfrm>
          <a:off x="7581900" y="152400"/>
          <a:ext cx="809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70305966-c6f5-46ea-b25a-03451b926664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2013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0.80075</cdr:x>
      <cdr:y>0.029</cdr:y>
    </cdr:from>
    <cdr:to>
      <cdr:x>0.8865</cdr:x>
      <cdr:y>0.06575</cdr:y>
    </cdr:to>
    <cdr:sp textlink="Data1!$R$4">
      <cdr:nvSpPr>
        <cdr:cNvPr id="1" name="Text Box 2"/>
        <cdr:cNvSpPr txBox="1">
          <a:spLocks noChangeArrowheads="1"/>
        </cdr:cNvSpPr>
      </cdr:nvSpPr>
      <cdr:spPr>
        <a:xfrm>
          <a:off x="7448550" y="161925"/>
          <a:ext cx="800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87bb8914-3188-4a60-a6fe-de7ed16d27af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2013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0.82175</cdr:x>
      <cdr:y>0.0385</cdr:y>
    </cdr:from>
    <cdr:to>
      <cdr:x>0.90825</cdr:x>
      <cdr:y>0.074</cdr:y>
    </cdr:to>
    <cdr:sp textlink="Data1!$R$4">
      <cdr:nvSpPr>
        <cdr:cNvPr id="1" name="Text Box 1"/>
        <cdr:cNvSpPr txBox="1">
          <a:spLocks noChangeArrowheads="1"/>
        </cdr:cNvSpPr>
      </cdr:nvSpPr>
      <cdr:spPr>
        <a:xfrm>
          <a:off x="7639050" y="219075"/>
          <a:ext cx="809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659425f1-ee6d-46a4-918c-f652fc1d5ac6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2013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zoomScalePageLayoutView="0" workbookViewId="0" topLeftCell="A1">
      <pane ySplit="2340" topLeftCell="BM9" activePane="bottomLeft" state="split"/>
      <selection pane="topLeft" activeCell="S6" sqref="S6"/>
      <selection pane="bottomLeft" activeCell="U38" sqref="U38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128</v>
      </c>
      <c r="R4" s="60">
        <v>2013</v>
      </c>
      <c r="S4" s="60"/>
      <c r="T4" s="7"/>
      <c r="U4" s="7"/>
      <c r="V4" s="60"/>
      <c r="W4" s="18"/>
      <c r="X4" s="102"/>
      <c r="Y4" s="99"/>
      <c r="Z4" s="148" t="s">
        <v>92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49"/>
      <c r="AA5" s="132"/>
      <c r="AB5" s="42" t="s">
        <v>85</v>
      </c>
    </row>
    <row r="6" spans="1:27" ht="13.5" customHeight="1" thickBot="1">
      <c r="A6" s="31" t="s">
        <v>0</v>
      </c>
      <c r="B6" s="143" t="s">
        <v>1</v>
      </c>
      <c r="C6" s="144"/>
      <c r="D6" s="144"/>
      <c r="E6" s="144"/>
      <c r="F6" s="145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102</v>
      </c>
      <c r="T6" s="31" t="s">
        <v>3</v>
      </c>
      <c r="U6" s="31" t="s">
        <v>3</v>
      </c>
      <c r="V6" s="31" t="s">
        <v>99</v>
      </c>
      <c r="W6" s="38" t="s">
        <v>61</v>
      </c>
      <c r="X6" s="104" t="s">
        <v>61</v>
      </c>
      <c r="Y6" s="146" t="s">
        <v>26</v>
      </c>
      <c r="Z6" s="149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2"/>
      <c r="U7" s="32" t="s">
        <v>46</v>
      </c>
      <c r="V7" s="37" t="s">
        <v>100</v>
      </c>
      <c r="W7" s="39" t="s">
        <v>62</v>
      </c>
      <c r="X7" s="105" t="s">
        <v>63</v>
      </c>
      <c r="Y7" s="146"/>
      <c r="Z7" s="149"/>
      <c r="AA7" s="132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2"/>
      <c r="T8" s="33" t="s">
        <v>18</v>
      </c>
      <c r="U8" s="33" t="s">
        <v>95</v>
      </c>
      <c r="V8" s="33" t="s">
        <v>101</v>
      </c>
      <c r="W8" s="33" t="s">
        <v>64</v>
      </c>
      <c r="X8" s="106" t="s">
        <v>64</v>
      </c>
      <c r="Y8" s="147"/>
      <c r="Z8" s="150"/>
      <c r="AA8" s="132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3">
        <v>1</v>
      </c>
      <c r="B9" s="64">
        <v>9.9</v>
      </c>
      <c r="C9" s="65">
        <v>9.7</v>
      </c>
      <c r="D9" s="65">
        <v>12.2</v>
      </c>
      <c r="E9" s="65">
        <v>7.7</v>
      </c>
      <c r="F9" s="66">
        <f aca="true" t="shared" si="0" ref="F9:F38">AVERAGE(D9:E9)</f>
        <v>9.95</v>
      </c>
      <c r="G9" s="67">
        <f>100*(AJ9/AH9)</f>
        <v>97.35612286610743</v>
      </c>
      <c r="H9" s="67">
        <f aca="true" t="shared" si="1" ref="H9:H38">AK9</f>
        <v>9.501019160457199</v>
      </c>
      <c r="I9" s="68">
        <v>2.9</v>
      </c>
      <c r="J9" s="66"/>
      <c r="K9" s="68">
        <v>8.9</v>
      </c>
      <c r="L9" s="65">
        <v>9.2</v>
      </c>
      <c r="M9" s="65"/>
      <c r="N9" s="65">
        <v>11.6</v>
      </c>
      <c r="O9" s="66">
        <v>12.5</v>
      </c>
      <c r="P9" s="69" t="s">
        <v>104</v>
      </c>
      <c r="Q9" s="70">
        <v>18</v>
      </c>
      <c r="R9" s="67">
        <v>0</v>
      </c>
      <c r="S9" s="67"/>
      <c r="T9" s="67">
        <v>7.5</v>
      </c>
      <c r="U9" s="67"/>
      <c r="V9" s="71">
        <v>8</v>
      </c>
      <c r="W9" s="64">
        <v>999.2</v>
      </c>
      <c r="X9" s="121">
        <f aca="true" t="shared" si="2" ref="X9:X38">W9+AU17</f>
        <v>1009.4927721286256</v>
      </c>
      <c r="Y9" s="130">
        <v>0</v>
      </c>
      <c r="Z9" s="133">
        <v>0</v>
      </c>
      <c r="AA9" s="126">
        <v>0</v>
      </c>
      <c r="AB9">
        <f>IF((MAX($D$9:$D$39)=$D9),A9,0)</f>
        <v>0</v>
      </c>
      <c r="AC9">
        <f>IF((MIN($E$9:$E$39)=$E9),A9,0)</f>
        <v>0</v>
      </c>
      <c r="AD9">
        <f>IF((MIN($I$9:$I$39)=$I9),A9,0)</f>
        <v>0</v>
      </c>
      <c r="AE9">
        <f aca="true" t="shared" si="3" ref="AE9:AE34">IF((MAX($T$9:$T$39)=$T9),A9,0)</f>
        <v>0</v>
      </c>
      <c r="AF9">
        <f aca="true" t="shared" si="4" ref="AF9:AF39">IF((MAX($R$9:$R$39)=$R9),A9,0)</f>
        <v>0</v>
      </c>
      <c r="AH9">
        <f>6.107*EXP(17.38*(B9/(239+B9)))</f>
        <v>12.191333479931261</v>
      </c>
      <c r="AI9">
        <f aca="true" t="shared" si="5" ref="AI9:AI39">IF(W9&gt;=0,6.107*EXP(17.38*(C9/(239+C9))),6.107*EXP(22.44*(C9/(272.4+C9))))</f>
        <v>12.028809601738768</v>
      </c>
      <c r="AJ9">
        <f aca="true" t="shared" si="6" ref="AJ9:AJ39">IF(C9&gt;=0,AI9-(0.000799*1000*(B9-C9)),AI9-(0.00072*1000*(B9-C9)))</f>
        <v>11.869009601738767</v>
      </c>
      <c r="AK9">
        <f>239*LN(AJ9/6.107)/(17.38-LN(AJ9/6.107))</f>
        <v>9.501019160457199</v>
      </c>
      <c r="AM9">
        <f>COUNTIF(V9:V39,"&lt;1")</f>
        <v>4</v>
      </c>
      <c r="AN9">
        <f>COUNTIF(E9:E39,"&lt;0")</f>
        <v>8</v>
      </c>
      <c r="AO9">
        <f>COUNTIF(I9:I39,"&lt;0")</f>
        <v>19</v>
      </c>
      <c r="AP9">
        <f>COUNTIF(Q9:Q39,"&gt;=39")</f>
        <v>1</v>
      </c>
    </row>
    <row r="10" spans="1:37" ht="12.75">
      <c r="A10" s="72">
        <v>2</v>
      </c>
      <c r="B10" s="73">
        <v>8.5</v>
      </c>
      <c r="C10" s="74">
        <v>8.4</v>
      </c>
      <c r="D10" s="74">
        <v>12.3</v>
      </c>
      <c r="E10" s="74">
        <v>6.6</v>
      </c>
      <c r="F10" s="75">
        <f t="shared" si="0"/>
        <v>9.45</v>
      </c>
      <c r="G10" s="67">
        <f aca="true" t="shared" si="7" ref="G10:G38">100*(AJ10/AH10)</f>
        <v>98.60364955423353</v>
      </c>
      <c r="H10" s="76">
        <f t="shared" si="1"/>
        <v>8.29280304790015</v>
      </c>
      <c r="I10" s="77">
        <v>3.5</v>
      </c>
      <c r="J10" s="75"/>
      <c r="K10" s="77">
        <v>9.1</v>
      </c>
      <c r="L10" s="74">
        <v>10</v>
      </c>
      <c r="M10" s="74"/>
      <c r="N10" s="74">
        <v>11.6</v>
      </c>
      <c r="O10" s="75">
        <v>12.4</v>
      </c>
      <c r="P10" s="78" t="s">
        <v>105</v>
      </c>
      <c r="Q10" s="79">
        <v>44</v>
      </c>
      <c r="R10" s="76">
        <v>0.7</v>
      </c>
      <c r="S10" s="76"/>
      <c r="T10" s="76">
        <v>0.1</v>
      </c>
      <c r="U10" s="76"/>
      <c r="V10" s="80">
        <v>8</v>
      </c>
      <c r="W10" s="73">
        <v>988.3</v>
      </c>
      <c r="X10" s="121">
        <f t="shared" si="2"/>
        <v>998.5314008869218</v>
      </c>
      <c r="Y10" s="127">
        <v>0</v>
      </c>
      <c r="Z10" s="134">
        <v>0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11.093113863278093</v>
      </c>
      <c r="AI10">
        <f t="shared" si="5"/>
        <v>11.018115118398828</v>
      </c>
      <c r="AJ10">
        <f t="shared" si="6"/>
        <v>10.938215118398828</v>
      </c>
      <c r="AK10">
        <f aca="true" t="shared" si="12" ref="AK10:AK39">239*LN(AJ10/6.107)/(17.38-LN(AJ10/6.107))</f>
        <v>8.29280304790015</v>
      </c>
    </row>
    <row r="11" spans="1:37" ht="12.75">
      <c r="A11" s="63">
        <v>3</v>
      </c>
      <c r="B11" s="64">
        <v>6.7</v>
      </c>
      <c r="C11" s="65">
        <v>5.7</v>
      </c>
      <c r="D11" s="65">
        <v>11</v>
      </c>
      <c r="E11" s="65">
        <v>5.2</v>
      </c>
      <c r="F11" s="66">
        <f t="shared" si="0"/>
        <v>8.1</v>
      </c>
      <c r="G11" s="67">
        <f t="shared" si="7"/>
        <v>85.17936496864553</v>
      </c>
      <c r="H11" s="67">
        <f t="shared" si="1"/>
        <v>4.390619983337551</v>
      </c>
      <c r="I11" s="68">
        <v>1.5</v>
      </c>
      <c r="J11" s="66"/>
      <c r="K11" s="68">
        <v>7.6</v>
      </c>
      <c r="L11" s="65">
        <v>8</v>
      </c>
      <c r="M11" s="65"/>
      <c r="N11" s="65">
        <v>11.4</v>
      </c>
      <c r="O11" s="66">
        <v>12.3</v>
      </c>
      <c r="P11" s="69" t="s">
        <v>106</v>
      </c>
      <c r="Q11" s="70">
        <v>34</v>
      </c>
      <c r="R11" s="67">
        <v>2</v>
      </c>
      <c r="S11" s="67"/>
      <c r="T11" s="67">
        <v>0.5</v>
      </c>
      <c r="U11" s="67"/>
      <c r="V11" s="71">
        <v>2</v>
      </c>
      <c r="W11" s="64">
        <v>987.5</v>
      </c>
      <c r="X11" s="121">
        <f t="shared" si="2"/>
        <v>997.7892737341041</v>
      </c>
      <c r="Y11" s="127">
        <v>0</v>
      </c>
      <c r="Z11" s="134">
        <v>0</v>
      </c>
      <c r="AA11" s="127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9.809696626511307</v>
      </c>
      <c r="AI11">
        <f t="shared" si="5"/>
        <v>9.154837291812974</v>
      </c>
      <c r="AJ11">
        <f t="shared" si="6"/>
        <v>8.355837291812975</v>
      </c>
      <c r="AK11">
        <f t="shared" si="12"/>
        <v>4.390619983337551</v>
      </c>
    </row>
    <row r="12" spans="1:37" ht="12.75">
      <c r="A12" s="72">
        <v>4</v>
      </c>
      <c r="B12" s="73">
        <v>4.5</v>
      </c>
      <c r="C12" s="74">
        <v>4</v>
      </c>
      <c r="D12" s="74">
        <v>10.3</v>
      </c>
      <c r="E12" s="74">
        <v>0.9</v>
      </c>
      <c r="F12" s="75">
        <f t="shared" si="0"/>
        <v>5.6000000000000005</v>
      </c>
      <c r="G12" s="67">
        <f t="shared" si="7"/>
        <v>91.80626861187132</v>
      </c>
      <c r="H12" s="76">
        <f t="shared" si="1"/>
        <v>3.285793499422468</v>
      </c>
      <c r="I12" s="77">
        <v>-3.9</v>
      </c>
      <c r="J12" s="75"/>
      <c r="K12" s="77">
        <v>4.4</v>
      </c>
      <c r="L12" s="74">
        <v>6.5</v>
      </c>
      <c r="M12" s="74"/>
      <c r="N12" s="74">
        <v>11</v>
      </c>
      <c r="O12" s="75">
        <v>12.1</v>
      </c>
      <c r="P12" s="78" t="s">
        <v>109</v>
      </c>
      <c r="Q12" s="79">
        <v>19</v>
      </c>
      <c r="R12" s="76">
        <v>3.5</v>
      </c>
      <c r="S12" s="76"/>
      <c r="T12" s="76">
        <v>2.2</v>
      </c>
      <c r="U12" s="76"/>
      <c r="V12" s="80">
        <v>0</v>
      </c>
      <c r="W12" s="73">
        <v>981.8</v>
      </c>
      <c r="X12" s="121">
        <f t="shared" si="2"/>
        <v>992.1114369408222</v>
      </c>
      <c r="Y12" s="127">
        <v>0</v>
      </c>
      <c r="Z12" s="134">
        <v>0</v>
      </c>
      <c r="AA12" s="127">
        <v>0</v>
      </c>
      <c r="AB12">
        <f t="shared" si="8"/>
        <v>0</v>
      </c>
      <c r="AC12">
        <f t="shared" si="9"/>
        <v>0</v>
      </c>
      <c r="AD12">
        <f t="shared" si="10"/>
        <v>0</v>
      </c>
      <c r="AE12">
        <f t="shared" si="3"/>
        <v>0</v>
      </c>
      <c r="AF12">
        <f t="shared" si="4"/>
        <v>0</v>
      </c>
      <c r="AH12">
        <f t="shared" si="11"/>
        <v>8.420141382073544</v>
      </c>
      <c r="AI12">
        <f t="shared" si="5"/>
        <v>8.129717614725772</v>
      </c>
      <c r="AJ12">
        <f t="shared" si="6"/>
        <v>7.730217614725772</v>
      </c>
      <c r="AK12">
        <f t="shared" si="12"/>
        <v>3.285793499422468</v>
      </c>
    </row>
    <row r="13" spans="1:37" ht="12.75">
      <c r="A13" s="63">
        <v>5</v>
      </c>
      <c r="B13" s="64">
        <v>6.9</v>
      </c>
      <c r="C13" s="65">
        <v>6.6</v>
      </c>
      <c r="D13" s="65">
        <v>10.2</v>
      </c>
      <c r="E13" s="65">
        <v>2.6</v>
      </c>
      <c r="F13" s="66">
        <f t="shared" si="0"/>
        <v>6.3999999999999995</v>
      </c>
      <c r="G13" s="67">
        <f t="shared" si="7"/>
        <v>95.5476173193195</v>
      </c>
      <c r="H13" s="67">
        <f t="shared" si="1"/>
        <v>6.2387814596524125</v>
      </c>
      <c r="I13" s="68">
        <v>-2.3</v>
      </c>
      <c r="J13" s="66"/>
      <c r="K13" s="68">
        <v>5.9</v>
      </c>
      <c r="L13" s="65">
        <v>6.8</v>
      </c>
      <c r="M13" s="65"/>
      <c r="N13" s="65">
        <v>10.6</v>
      </c>
      <c r="O13" s="66">
        <v>12</v>
      </c>
      <c r="P13" s="69" t="s">
        <v>111</v>
      </c>
      <c r="Q13" s="70">
        <v>33</v>
      </c>
      <c r="R13" s="67">
        <v>0.5</v>
      </c>
      <c r="S13" s="67"/>
      <c r="T13" s="67">
        <v>7.3</v>
      </c>
      <c r="U13" s="67"/>
      <c r="V13" s="71">
        <v>8</v>
      </c>
      <c r="W13" s="64">
        <v>978.8</v>
      </c>
      <c r="X13" s="121">
        <f t="shared" si="2"/>
        <v>988.991296270418</v>
      </c>
      <c r="Y13" s="127">
        <v>0</v>
      </c>
      <c r="Z13" s="134">
        <v>0</v>
      </c>
      <c r="AA13" s="127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9.945515096468517</v>
      </c>
      <c r="AI13">
        <f t="shared" si="5"/>
        <v>9.742402704808889</v>
      </c>
      <c r="AJ13">
        <f t="shared" si="6"/>
        <v>9.502702704808888</v>
      </c>
      <c r="AK13">
        <f t="shared" si="12"/>
        <v>6.2387814596524125</v>
      </c>
    </row>
    <row r="14" spans="1:37" ht="12.75">
      <c r="A14" s="72">
        <v>6</v>
      </c>
      <c r="B14" s="73">
        <v>8.1</v>
      </c>
      <c r="C14" s="74">
        <v>8</v>
      </c>
      <c r="D14" s="74">
        <v>13.4</v>
      </c>
      <c r="E14" s="74">
        <v>6.9</v>
      </c>
      <c r="F14" s="75">
        <f t="shared" si="0"/>
        <v>10.15</v>
      </c>
      <c r="G14" s="67">
        <f t="shared" si="7"/>
        <v>98.58162939002413</v>
      </c>
      <c r="H14" s="76">
        <f t="shared" si="1"/>
        <v>7.89019446131199</v>
      </c>
      <c r="I14" s="77">
        <v>2.9</v>
      </c>
      <c r="J14" s="75"/>
      <c r="K14" s="77">
        <v>7.5</v>
      </c>
      <c r="L14" s="74">
        <v>8</v>
      </c>
      <c r="M14" s="74"/>
      <c r="N14" s="74">
        <v>10.3</v>
      </c>
      <c r="O14" s="75">
        <v>11.8</v>
      </c>
      <c r="P14" s="78" t="s">
        <v>111</v>
      </c>
      <c r="Q14" s="79">
        <v>16</v>
      </c>
      <c r="R14" s="76">
        <v>0</v>
      </c>
      <c r="S14" s="76"/>
      <c r="T14" s="76">
        <v>10.7</v>
      </c>
      <c r="U14" s="76"/>
      <c r="V14" s="80">
        <v>8</v>
      </c>
      <c r="W14" s="73">
        <v>988.1</v>
      </c>
      <c r="X14" s="121">
        <f t="shared" si="2"/>
        <v>998.3439667305347</v>
      </c>
      <c r="Y14" s="127">
        <v>0</v>
      </c>
      <c r="Z14" s="134">
        <v>0</v>
      </c>
      <c r="AA14" s="127">
        <v>0</v>
      </c>
      <c r="AB14">
        <f t="shared" si="8"/>
        <v>6</v>
      </c>
      <c r="AC14">
        <f t="shared" si="9"/>
        <v>0</v>
      </c>
      <c r="AD14">
        <f t="shared" si="10"/>
        <v>0</v>
      </c>
      <c r="AE14">
        <f t="shared" si="3"/>
        <v>6</v>
      </c>
      <c r="AF14">
        <f t="shared" si="4"/>
        <v>0</v>
      </c>
      <c r="AH14">
        <f t="shared" si="11"/>
        <v>10.795791854163713</v>
      </c>
      <c r="AI14">
        <f t="shared" si="5"/>
        <v>10.722567515390086</v>
      </c>
      <c r="AJ14">
        <f t="shared" si="6"/>
        <v>10.642667515390086</v>
      </c>
      <c r="AK14">
        <f t="shared" si="12"/>
        <v>7.89019446131199</v>
      </c>
    </row>
    <row r="15" spans="1:37" ht="12.75">
      <c r="A15" s="63">
        <v>7</v>
      </c>
      <c r="B15" s="64">
        <v>6</v>
      </c>
      <c r="C15" s="65">
        <v>5.8</v>
      </c>
      <c r="D15" s="65">
        <v>9.8</v>
      </c>
      <c r="E15" s="65">
        <v>5.5</v>
      </c>
      <c r="F15" s="66">
        <f t="shared" si="0"/>
        <v>7.65</v>
      </c>
      <c r="G15" s="67">
        <f t="shared" si="7"/>
        <v>96.91477102710422</v>
      </c>
      <c r="H15" s="67">
        <f t="shared" si="1"/>
        <v>5.547980537116311</v>
      </c>
      <c r="I15" s="68">
        <v>1.7</v>
      </c>
      <c r="J15" s="66"/>
      <c r="K15" s="68">
        <v>6.2</v>
      </c>
      <c r="L15" s="65">
        <v>7.9</v>
      </c>
      <c r="M15" s="65"/>
      <c r="N15" s="65">
        <v>10.5</v>
      </c>
      <c r="O15" s="66">
        <v>11.6</v>
      </c>
      <c r="P15" s="69" t="s">
        <v>114</v>
      </c>
      <c r="Q15" s="70">
        <v>16</v>
      </c>
      <c r="R15" s="67">
        <v>2.4</v>
      </c>
      <c r="S15" s="67"/>
      <c r="T15" s="67">
        <v>0.1</v>
      </c>
      <c r="U15" s="67"/>
      <c r="V15" s="71">
        <v>2</v>
      </c>
      <c r="W15" s="64">
        <v>994.9</v>
      </c>
      <c r="X15" s="121">
        <f t="shared" si="2"/>
        <v>1005.2925313894463</v>
      </c>
      <c r="Y15" s="127">
        <v>0</v>
      </c>
      <c r="Z15" s="134">
        <v>0</v>
      </c>
      <c r="AA15" s="127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9.347120306962537</v>
      </c>
      <c r="AI15">
        <f t="shared" si="5"/>
        <v>9.218540243120705</v>
      </c>
      <c r="AJ15">
        <f t="shared" si="6"/>
        <v>9.058740243120704</v>
      </c>
      <c r="AK15">
        <f t="shared" si="12"/>
        <v>5.547980537116311</v>
      </c>
    </row>
    <row r="16" spans="1:37" ht="12.75">
      <c r="A16" s="72">
        <v>8</v>
      </c>
      <c r="B16" s="73">
        <v>5.9</v>
      </c>
      <c r="C16" s="74">
        <v>5.8</v>
      </c>
      <c r="D16" s="74">
        <v>7.9</v>
      </c>
      <c r="E16" s="74">
        <v>3.3</v>
      </c>
      <c r="F16" s="75">
        <f t="shared" si="0"/>
        <v>5.6</v>
      </c>
      <c r="G16" s="67">
        <f t="shared" si="7"/>
        <v>98.44878451840887</v>
      </c>
      <c r="H16" s="76">
        <f t="shared" si="1"/>
        <v>5.674476237833991</v>
      </c>
      <c r="I16" s="77">
        <v>-2</v>
      </c>
      <c r="J16" s="75"/>
      <c r="K16" s="77">
        <v>4.9</v>
      </c>
      <c r="L16" s="74">
        <v>6.2</v>
      </c>
      <c r="M16" s="74"/>
      <c r="N16" s="74">
        <v>10.2</v>
      </c>
      <c r="O16" s="75">
        <v>11.2</v>
      </c>
      <c r="P16" s="78" t="s">
        <v>105</v>
      </c>
      <c r="Q16" s="79">
        <v>19</v>
      </c>
      <c r="R16" s="76">
        <v>0.4</v>
      </c>
      <c r="S16" s="76"/>
      <c r="T16" s="76">
        <v>3.4</v>
      </c>
      <c r="U16" s="76"/>
      <c r="V16" s="80">
        <v>1</v>
      </c>
      <c r="W16" s="73">
        <v>993.9</v>
      </c>
      <c r="X16" s="121">
        <f t="shared" si="2"/>
        <v>1004.285828769504</v>
      </c>
      <c r="Y16" s="127">
        <v>0</v>
      </c>
      <c r="Z16" s="134">
        <v>0</v>
      </c>
      <c r="AA16" s="127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0</v>
      </c>
      <c r="AH16">
        <f t="shared" si="11"/>
        <v>9.282633897234025</v>
      </c>
      <c r="AI16">
        <f t="shared" si="5"/>
        <v>9.218540243120705</v>
      </c>
      <c r="AJ16">
        <f t="shared" si="6"/>
        <v>9.138640243120705</v>
      </c>
      <c r="AK16">
        <f t="shared" si="12"/>
        <v>5.674476237833991</v>
      </c>
    </row>
    <row r="17" spans="1:47" ht="12.75">
      <c r="A17" s="63">
        <v>9</v>
      </c>
      <c r="B17" s="64">
        <v>3.8</v>
      </c>
      <c r="C17" s="65">
        <v>3.6</v>
      </c>
      <c r="D17" s="65">
        <v>7.1</v>
      </c>
      <c r="E17" s="65">
        <v>1.4</v>
      </c>
      <c r="F17" s="66">
        <f t="shared" si="0"/>
        <v>4.25</v>
      </c>
      <c r="G17" s="67">
        <f t="shared" si="7"/>
        <v>96.60601168017172</v>
      </c>
      <c r="H17" s="67">
        <f t="shared" si="1"/>
        <v>3.3109415952110415</v>
      </c>
      <c r="I17" s="68">
        <v>-2.8</v>
      </c>
      <c r="J17" s="66"/>
      <c r="K17" s="68">
        <v>5.8</v>
      </c>
      <c r="L17" s="65">
        <v>6</v>
      </c>
      <c r="M17" s="65"/>
      <c r="N17" s="65">
        <v>9.9</v>
      </c>
      <c r="O17" s="66">
        <v>11.3</v>
      </c>
      <c r="P17" s="69" t="s">
        <v>115</v>
      </c>
      <c r="Q17" s="70">
        <v>16</v>
      </c>
      <c r="R17" s="67">
        <v>0.3</v>
      </c>
      <c r="S17" s="67"/>
      <c r="T17" s="67" t="s">
        <v>117</v>
      </c>
      <c r="U17" s="67"/>
      <c r="V17" s="71">
        <v>8</v>
      </c>
      <c r="W17" s="64">
        <v>994.6</v>
      </c>
      <c r="X17" s="121">
        <f t="shared" si="2"/>
        <v>1005.0724344165699</v>
      </c>
      <c r="Y17" s="127">
        <v>0</v>
      </c>
      <c r="Z17" s="134">
        <v>0</v>
      </c>
      <c r="AA17" s="127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8.016048052675158</v>
      </c>
      <c r="AI17">
        <f t="shared" si="5"/>
        <v>7.903784318055541</v>
      </c>
      <c r="AJ17">
        <f t="shared" si="6"/>
        <v>7.743984318055541</v>
      </c>
      <c r="AK17">
        <f t="shared" si="12"/>
        <v>3.3109415952110415</v>
      </c>
      <c r="AU17">
        <f aca="true" t="shared" si="13" ref="AU17:AU47">W9*(10^(85/(18429.1+(67.53*B9)+(0.003*31)))-1)</f>
        <v>10.292772128625492</v>
      </c>
    </row>
    <row r="18" spans="1:47" ht="12.75">
      <c r="A18" s="72">
        <v>10</v>
      </c>
      <c r="B18" s="73">
        <v>3.9</v>
      </c>
      <c r="C18" s="74">
        <v>3.5</v>
      </c>
      <c r="D18" s="74">
        <v>9.3</v>
      </c>
      <c r="E18" s="74">
        <v>0.9</v>
      </c>
      <c r="F18" s="75">
        <f t="shared" si="0"/>
        <v>5.1000000000000005</v>
      </c>
      <c r="G18" s="67">
        <f t="shared" si="7"/>
        <v>93.25961829737864</v>
      </c>
      <c r="H18" s="76">
        <f t="shared" si="1"/>
        <v>2.91283825534975</v>
      </c>
      <c r="I18" s="77">
        <v>-4.1</v>
      </c>
      <c r="J18" s="75"/>
      <c r="K18" s="77">
        <v>3</v>
      </c>
      <c r="L18" s="74">
        <v>5</v>
      </c>
      <c r="M18" s="74"/>
      <c r="N18" s="74">
        <v>9.6</v>
      </c>
      <c r="O18" s="75">
        <v>11.1</v>
      </c>
      <c r="P18" s="78" t="s">
        <v>116</v>
      </c>
      <c r="Q18" s="79">
        <v>15</v>
      </c>
      <c r="R18" s="76">
        <v>5.2</v>
      </c>
      <c r="S18" s="76"/>
      <c r="T18" s="76">
        <v>1</v>
      </c>
      <c r="U18" s="76"/>
      <c r="V18" s="80">
        <v>0</v>
      </c>
      <c r="W18" s="73">
        <v>1005</v>
      </c>
      <c r="X18" s="121">
        <f t="shared" si="2"/>
        <v>1015.5780961083785</v>
      </c>
      <c r="Y18" s="127"/>
      <c r="Z18" s="134"/>
      <c r="AA18" s="127"/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10</v>
      </c>
      <c r="AH18">
        <f t="shared" si="11"/>
        <v>8.072706165126084</v>
      </c>
      <c r="AI18">
        <f t="shared" si="5"/>
        <v>7.848174955865539</v>
      </c>
      <c r="AJ18">
        <f t="shared" si="6"/>
        <v>7.528574955865539</v>
      </c>
      <c r="AK18">
        <f t="shared" si="12"/>
        <v>2.91283825534975</v>
      </c>
      <c r="AU18">
        <f t="shared" si="13"/>
        <v>10.231400886921884</v>
      </c>
    </row>
    <row r="19" spans="1:47" ht="12.75">
      <c r="A19" s="63">
        <v>11</v>
      </c>
      <c r="B19" s="64">
        <v>9</v>
      </c>
      <c r="C19" s="65">
        <v>8.9</v>
      </c>
      <c r="D19" s="65">
        <v>13.1</v>
      </c>
      <c r="E19" s="65">
        <v>1</v>
      </c>
      <c r="F19" s="66">
        <f t="shared" si="0"/>
        <v>7.05</v>
      </c>
      <c r="G19" s="67">
        <f t="shared" si="7"/>
        <v>98.63032819236417</v>
      </c>
      <c r="H19" s="67">
        <f t="shared" si="1"/>
        <v>8.795964342170066</v>
      </c>
      <c r="I19" s="68">
        <v>-3.1</v>
      </c>
      <c r="J19" s="66"/>
      <c r="K19" s="68">
        <v>6.7</v>
      </c>
      <c r="L19" s="65">
        <v>6.6</v>
      </c>
      <c r="M19" s="65"/>
      <c r="N19" s="65">
        <v>9.2</v>
      </c>
      <c r="O19" s="66">
        <v>11</v>
      </c>
      <c r="P19" s="69" t="s">
        <v>104</v>
      </c>
      <c r="Q19" s="70">
        <v>22</v>
      </c>
      <c r="R19" s="67">
        <v>0</v>
      </c>
      <c r="S19" s="67"/>
      <c r="T19" s="67">
        <v>7.3</v>
      </c>
      <c r="U19" s="67"/>
      <c r="V19" s="71">
        <v>8</v>
      </c>
      <c r="W19" s="64">
        <v>1007.6</v>
      </c>
      <c r="X19" s="121">
        <f t="shared" si="2"/>
        <v>1018.0126080028481</v>
      </c>
      <c r="Y19" s="127"/>
      <c r="Z19" s="134"/>
      <c r="AA19" s="127"/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11.474893337456098</v>
      </c>
      <c r="AI19">
        <f t="shared" si="5"/>
        <v>11.397624958456682</v>
      </c>
      <c r="AJ19">
        <f t="shared" si="6"/>
        <v>11.317724958456681</v>
      </c>
      <c r="AK19">
        <f t="shared" si="12"/>
        <v>8.795964342170066</v>
      </c>
      <c r="AU19">
        <f t="shared" si="13"/>
        <v>10.289273734104048</v>
      </c>
    </row>
    <row r="20" spans="1:47" ht="12.75">
      <c r="A20" s="72">
        <v>12</v>
      </c>
      <c r="B20" s="73">
        <v>7.8</v>
      </c>
      <c r="C20" s="74">
        <v>7.5</v>
      </c>
      <c r="D20" s="74">
        <v>11.9</v>
      </c>
      <c r="E20" s="74">
        <v>7</v>
      </c>
      <c r="F20" s="75">
        <f t="shared" si="0"/>
        <v>9.45</v>
      </c>
      <c r="G20" s="67">
        <f t="shared" si="7"/>
        <v>95.7063279405359</v>
      </c>
      <c r="H20" s="76">
        <f t="shared" si="1"/>
        <v>7.158147273812076</v>
      </c>
      <c r="I20" s="77">
        <v>1.9</v>
      </c>
      <c r="J20" s="75"/>
      <c r="K20" s="77">
        <v>7.9</v>
      </c>
      <c r="L20" s="74">
        <v>9</v>
      </c>
      <c r="M20" s="74"/>
      <c r="N20" s="74">
        <v>10.6</v>
      </c>
      <c r="O20" s="75">
        <v>10.8</v>
      </c>
      <c r="P20" s="78" t="s">
        <v>115</v>
      </c>
      <c r="Q20" s="79">
        <v>18</v>
      </c>
      <c r="R20" s="76">
        <v>3.2</v>
      </c>
      <c r="S20" s="76"/>
      <c r="T20" s="76">
        <v>0</v>
      </c>
      <c r="U20" s="76"/>
      <c r="V20" s="80">
        <v>2</v>
      </c>
      <c r="W20" s="73">
        <v>1013.8</v>
      </c>
      <c r="X20" s="121">
        <f t="shared" si="2"/>
        <v>1024.3216983245968</v>
      </c>
      <c r="Y20" s="127"/>
      <c r="Z20" s="134"/>
      <c r="AA20" s="127"/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10.57743042767468</v>
      </c>
      <c r="AI20">
        <f t="shared" si="5"/>
        <v>10.362970252792357</v>
      </c>
      <c r="AJ20">
        <f t="shared" si="6"/>
        <v>10.123270252792357</v>
      </c>
      <c r="AK20">
        <f t="shared" si="12"/>
        <v>7.158147273812076</v>
      </c>
      <c r="AU20">
        <f t="shared" si="13"/>
        <v>10.311436940822244</v>
      </c>
    </row>
    <row r="21" spans="1:47" ht="12.75">
      <c r="A21" s="63">
        <v>13</v>
      </c>
      <c r="B21" s="64">
        <v>2.2</v>
      </c>
      <c r="C21" s="65">
        <v>2.2</v>
      </c>
      <c r="D21" s="65">
        <v>9.4</v>
      </c>
      <c r="E21" s="65">
        <v>-0.9</v>
      </c>
      <c r="F21" s="66">
        <f t="shared" si="0"/>
        <v>4.25</v>
      </c>
      <c r="G21" s="67">
        <f t="shared" si="7"/>
        <v>100</v>
      </c>
      <c r="H21" s="67">
        <f t="shared" si="1"/>
        <v>2.1999999999999993</v>
      </c>
      <c r="I21" s="68">
        <v>-4.5</v>
      </c>
      <c r="J21" s="66"/>
      <c r="K21" s="68">
        <v>2.9</v>
      </c>
      <c r="L21" s="65">
        <v>4.7</v>
      </c>
      <c r="M21" s="65"/>
      <c r="N21" s="65">
        <v>9.7</v>
      </c>
      <c r="O21" s="66">
        <v>10.9</v>
      </c>
      <c r="P21" s="69" t="s">
        <v>118</v>
      </c>
      <c r="Q21" s="70">
        <v>25</v>
      </c>
      <c r="R21" s="67">
        <v>2.9</v>
      </c>
      <c r="S21" s="67"/>
      <c r="T21" s="67">
        <v>0.8</v>
      </c>
      <c r="U21" s="67"/>
      <c r="V21" s="71">
        <v>0</v>
      </c>
      <c r="W21" s="64">
        <v>1023.4</v>
      </c>
      <c r="X21" s="121">
        <f t="shared" si="2"/>
        <v>1034.2386799526678</v>
      </c>
      <c r="Y21" s="127"/>
      <c r="Z21" s="134"/>
      <c r="AA21" s="127"/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7.1560610769283075</v>
      </c>
      <c r="AI21">
        <f t="shared" si="5"/>
        <v>7.1560610769283075</v>
      </c>
      <c r="AJ21">
        <f t="shared" si="6"/>
        <v>7.1560610769283075</v>
      </c>
      <c r="AK21">
        <f t="shared" si="12"/>
        <v>2.1999999999999993</v>
      </c>
      <c r="AU21">
        <f t="shared" si="13"/>
        <v>10.191296270418086</v>
      </c>
    </row>
    <row r="22" spans="1:47" ht="12.75">
      <c r="A22" s="72">
        <v>14</v>
      </c>
      <c r="B22" s="73">
        <v>6.4</v>
      </c>
      <c r="C22" s="74">
        <v>5.8</v>
      </c>
      <c r="D22" s="74">
        <v>8.9</v>
      </c>
      <c r="E22" s="74">
        <v>2.2</v>
      </c>
      <c r="F22" s="75">
        <f t="shared" si="0"/>
        <v>5.550000000000001</v>
      </c>
      <c r="G22" s="67">
        <f t="shared" si="7"/>
        <v>90.94711762190155</v>
      </c>
      <c r="H22" s="76">
        <f t="shared" si="1"/>
        <v>5.031946605245614</v>
      </c>
      <c r="I22" s="77">
        <v>0.1</v>
      </c>
      <c r="J22" s="75"/>
      <c r="K22" s="77">
        <v>6.1</v>
      </c>
      <c r="L22" s="74">
        <v>7</v>
      </c>
      <c r="M22" s="74"/>
      <c r="N22" s="74">
        <v>9.3</v>
      </c>
      <c r="O22" s="75">
        <v>10.5</v>
      </c>
      <c r="P22" s="78" t="s">
        <v>119</v>
      </c>
      <c r="Q22" s="79">
        <v>30</v>
      </c>
      <c r="R22" s="76">
        <v>3.5</v>
      </c>
      <c r="S22" s="76"/>
      <c r="T22" s="76">
        <v>0</v>
      </c>
      <c r="U22" s="76"/>
      <c r="V22" s="80">
        <v>1</v>
      </c>
      <c r="W22" s="73">
        <v>1011.2</v>
      </c>
      <c r="X22" s="121">
        <f t="shared" si="2"/>
        <v>1021.7475920641957</v>
      </c>
      <c r="Y22" s="127"/>
      <c r="Z22" s="134"/>
      <c r="AA22" s="127"/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9.609034867330614</v>
      </c>
      <c r="AI22">
        <f t="shared" si="5"/>
        <v>9.218540243120705</v>
      </c>
      <c r="AJ22">
        <f t="shared" si="6"/>
        <v>8.739140243120705</v>
      </c>
      <c r="AK22">
        <f t="shared" si="12"/>
        <v>5.031946605245614</v>
      </c>
      <c r="AU22">
        <f t="shared" si="13"/>
        <v>10.243966730534657</v>
      </c>
    </row>
    <row r="23" spans="1:47" ht="12.75">
      <c r="A23" s="63">
        <v>15</v>
      </c>
      <c r="B23" s="64">
        <v>2</v>
      </c>
      <c r="C23" s="65">
        <v>1.9</v>
      </c>
      <c r="D23" s="65">
        <v>8.5</v>
      </c>
      <c r="E23" s="65">
        <v>-2.1</v>
      </c>
      <c r="F23" s="66">
        <f t="shared" si="0"/>
        <v>3.2</v>
      </c>
      <c r="G23" s="67">
        <f t="shared" si="7"/>
        <v>98.15447168804357</v>
      </c>
      <c r="H23" s="67">
        <f t="shared" si="1"/>
        <v>1.7398183364858717</v>
      </c>
      <c r="I23" s="68">
        <v>-5.6</v>
      </c>
      <c r="J23" s="66"/>
      <c r="K23" s="68">
        <v>2.7</v>
      </c>
      <c r="L23" s="65">
        <v>4</v>
      </c>
      <c r="M23" s="65"/>
      <c r="N23" s="65">
        <v>9.1</v>
      </c>
      <c r="O23" s="66">
        <v>10.7</v>
      </c>
      <c r="P23" s="69" t="s">
        <v>129</v>
      </c>
      <c r="Q23" s="70">
        <v>10</v>
      </c>
      <c r="R23" s="67">
        <v>0</v>
      </c>
      <c r="S23" s="67"/>
      <c r="T23" s="67">
        <v>0.1</v>
      </c>
      <c r="U23" s="67"/>
      <c r="V23" s="71">
        <v>8</v>
      </c>
      <c r="W23" s="64">
        <v>1023.7</v>
      </c>
      <c r="X23" s="121">
        <f t="shared" si="2"/>
        <v>1034.5497866081512</v>
      </c>
      <c r="Y23" s="127"/>
      <c r="Z23" s="134"/>
      <c r="AA23" s="127"/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7.054516284028025</v>
      </c>
      <c r="AI23">
        <f t="shared" si="5"/>
        <v>7.004223188734711</v>
      </c>
      <c r="AJ23">
        <f t="shared" si="6"/>
        <v>6.924323188734711</v>
      </c>
      <c r="AK23">
        <f t="shared" si="12"/>
        <v>1.7398183364858717</v>
      </c>
      <c r="AU23">
        <f t="shared" si="13"/>
        <v>10.392531389446223</v>
      </c>
    </row>
    <row r="24" spans="1:47" ht="12.75">
      <c r="A24" s="72">
        <v>16</v>
      </c>
      <c r="B24" s="73">
        <v>7.3</v>
      </c>
      <c r="C24" s="74">
        <v>6.9</v>
      </c>
      <c r="D24" s="74">
        <v>10.2</v>
      </c>
      <c r="E24" s="74">
        <v>2</v>
      </c>
      <c r="F24" s="75">
        <f t="shared" si="0"/>
        <v>6.1</v>
      </c>
      <c r="G24" s="67">
        <f t="shared" si="7"/>
        <v>94.1673680043423</v>
      </c>
      <c r="H24" s="76">
        <f t="shared" si="1"/>
        <v>6.4254485980722205</v>
      </c>
      <c r="I24" s="77">
        <v>1.5</v>
      </c>
      <c r="J24" s="75"/>
      <c r="K24" s="77">
        <v>8.3</v>
      </c>
      <c r="L24" s="74">
        <v>8</v>
      </c>
      <c r="M24" s="74"/>
      <c r="N24" s="74">
        <v>9</v>
      </c>
      <c r="O24" s="75">
        <v>10.4</v>
      </c>
      <c r="P24" s="78" t="s">
        <v>109</v>
      </c>
      <c r="Q24" s="79">
        <v>15</v>
      </c>
      <c r="R24" s="76">
        <v>0</v>
      </c>
      <c r="S24" s="76"/>
      <c r="T24" s="76" t="s">
        <v>117</v>
      </c>
      <c r="U24" s="76"/>
      <c r="V24" s="80">
        <v>8</v>
      </c>
      <c r="W24" s="73">
        <v>1021.4</v>
      </c>
      <c r="X24" s="121">
        <f t="shared" si="2"/>
        <v>1032.0195885637718</v>
      </c>
      <c r="Y24" s="127"/>
      <c r="Z24" s="134"/>
      <c r="AA24" s="127"/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10.22213458915475</v>
      </c>
      <c r="AI24">
        <f t="shared" si="5"/>
        <v>9.945515096468517</v>
      </c>
      <c r="AJ24">
        <f t="shared" si="6"/>
        <v>9.625915096468518</v>
      </c>
      <c r="AK24">
        <f t="shared" si="12"/>
        <v>6.4254485980722205</v>
      </c>
      <c r="AU24">
        <f t="shared" si="13"/>
        <v>10.385828769504018</v>
      </c>
    </row>
    <row r="25" spans="1:47" ht="12.75">
      <c r="A25" s="63">
        <v>17</v>
      </c>
      <c r="B25" s="64">
        <v>7.8</v>
      </c>
      <c r="C25" s="65">
        <v>7.4</v>
      </c>
      <c r="D25" s="65">
        <v>10.8</v>
      </c>
      <c r="E25" s="65">
        <v>3.1</v>
      </c>
      <c r="F25" s="66">
        <f t="shared" si="0"/>
        <v>6.95</v>
      </c>
      <c r="G25" s="67">
        <f t="shared" si="7"/>
        <v>94.28320212989789</v>
      </c>
      <c r="H25" s="67">
        <f t="shared" si="1"/>
        <v>6.939800337425242</v>
      </c>
      <c r="I25" s="68">
        <v>-1.9</v>
      </c>
      <c r="J25" s="66"/>
      <c r="K25" s="68">
        <v>9</v>
      </c>
      <c r="L25" s="65">
        <v>8</v>
      </c>
      <c r="M25" s="65"/>
      <c r="N25" s="65">
        <v>9.2</v>
      </c>
      <c r="O25" s="66">
        <v>10.4</v>
      </c>
      <c r="P25" s="69" t="s">
        <v>130</v>
      </c>
      <c r="Q25" s="70">
        <v>8</v>
      </c>
      <c r="R25" s="67">
        <v>0</v>
      </c>
      <c r="S25" s="67"/>
      <c r="T25" s="67" t="s">
        <v>117</v>
      </c>
      <c r="U25" s="67"/>
      <c r="V25" s="71">
        <v>8</v>
      </c>
      <c r="W25" s="64">
        <v>1014.1</v>
      </c>
      <c r="X25" s="121">
        <f t="shared" si="2"/>
        <v>1024.6248118672063</v>
      </c>
      <c r="Y25" s="127"/>
      <c r="Z25" s="134"/>
      <c r="AA25" s="127"/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10.57743042767468</v>
      </c>
      <c r="AI25">
        <f t="shared" si="5"/>
        <v>10.29234011027384</v>
      </c>
      <c r="AJ25">
        <f t="shared" si="6"/>
        <v>9.97274011027384</v>
      </c>
      <c r="AK25">
        <f t="shared" si="12"/>
        <v>6.939800337425242</v>
      </c>
      <c r="AU25">
        <f t="shared" si="13"/>
        <v>10.472434416569817</v>
      </c>
    </row>
    <row r="26" spans="1:47" ht="12.75">
      <c r="A26" s="72">
        <v>18</v>
      </c>
      <c r="B26" s="73">
        <v>7.5</v>
      </c>
      <c r="C26" s="74">
        <v>7.2</v>
      </c>
      <c r="D26" s="74">
        <v>9</v>
      </c>
      <c r="E26" s="74">
        <v>7.1</v>
      </c>
      <c r="F26" s="75">
        <f t="shared" si="0"/>
        <v>8.05</v>
      </c>
      <c r="G26" s="67">
        <f t="shared" si="7"/>
        <v>95.65453976626296</v>
      </c>
      <c r="H26" s="76">
        <f t="shared" si="1"/>
        <v>6.85182845107467</v>
      </c>
      <c r="I26" s="77">
        <v>5</v>
      </c>
      <c r="J26" s="75"/>
      <c r="K26" s="77">
        <v>8.6</v>
      </c>
      <c r="L26" s="74">
        <v>8.7</v>
      </c>
      <c r="M26" s="74"/>
      <c r="N26" s="74">
        <v>9.6</v>
      </c>
      <c r="O26" s="75">
        <v>10.4</v>
      </c>
      <c r="P26" s="78" t="s">
        <v>111</v>
      </c>
      <c r="Q26" s="79">
        <v>13</v>
      </c>
      <c r="R26" s="76">
        <v>0</v>
      </c>
      <c r="S26" s="76"/>
      <c r="T26" s="76">
        <v>0.9</v>
      </c>
      <c r="U26" s="76"/>
      <c r="V26" s="80">
        <v>8</v>
      </c>
      <c r="W26" s="73">
        <v>999.5</v>
      </c>
      <c r="X26" s="121">
        <f t="shared" si="2"/>
        <v>1009.8844418119077</v>
      </c>
      <c r="Y26" s="127"/>
      <c r="Z26" s="134"/>
      <c r="AA26" s="127"/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10.362970252792357</v>
      </c>
      <c r="AI26">
        <f t="shared" si="5"/>
        <v>10.152351501423265</v>
      </c>
      <c r="AJ26">
        <f t="shared" si="6"/>
        <v>9.912651501423266</v>
      </c>
      <c r="AK26">
        <f t="shared" si="12"/>
        <v>6.85182845107467</v>
      </c>
      <c r="AU26">
        <f t="shared" si="13"/>
        <v>10.578096108378514</v>
      </c>
    </row>
    <row r="27" spans="1:47" ht="12.75">
      <c r="A27" s="63">
        <v>19</v>
      </c>
      <c r="B27" s="64">
        <v>0.9</v>
      </c>
      <c r="C27" s="65">
        <v>0.8</v>
      </c>
      <c r="D27" s="65">
        <v>6.4</v>
      </c>
      <c r="E27" s="65">
        <v>0.7</v>
      </c>
      <c r="F27" s="66">
        <f t="shared" si="0"/>
        <v>3.5500000000000003</v>
      </c>
      <c r="G27" s="67">
        <f t="shared" si="7"/>
        <v>98.05479886587781</v>
      </c>
      <c r="H27" s="67">
        <f t="shared" si="1"/>
        <v>0.6281411354850039</v>
      </c>
      <c r="I27" s="68">
        <v>-1.9</v>
      </c>
      <c r="J27" s="66"/>
      <c r="K27" s="68">
        <v>3.2</v>
      </c>
      <c r="L27" s="65">
        <v>5.7</v>
      </c>
      <c r="M27" s="65"/>
      <c r="N27" s="65">
        <v>9.6</v>
      </c>
      <c r="O27" s="66">
        <v>10.5</v>
      </c>
      <c r="P27" s="69" t="s">
        <v>116</v>
      </c>
      <c r="Q27" s="70">
        <v>15</v>
      </c>
      <c r="R27" s="67">
        <v>4.5</v>
      </c>
      <c r="S27" s="67"/>
      <c r="T27" s="67">
        <v>1.3</v>
      </c>
      <c r="U27" s="67"/>
      <c r="V27" s="71">
        <v>1</v>
      </c>
      <c r="W27" s="64">
        <v>1001.7</v>
      </c>
      <c r="X27" s="121">
        <f t="shared" si="2"/>
        <v>1012.3594955516879</v>
      </c>
      <c r="Y27" s="127"/>
      <c r="Z27" s="134"/>
      <c r="AA27" s="127"/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6.5184578494953405</v>
      </c>
      <c r="AI27">
        <f t="shared" si="5"/>
        <v>6.471560733479681</v>
      </c>
      <c r="AJ27">
        <f t="shared" si="6"/>
        <v>6.3916607334796804</v>
      </c>
      <c r="AK27">
        <f t="shared" si="12"/>
        <v>0.6281411354850039</v>
      </c>
      <c r="AU27">
        <f t="shared" si="13"/>
        <v>10.412608002848097</v>
      </c>
    </row>
    <row r="28" spans="1:47" ht="12.75">
      <c r="A28" s="72">
        <v>20</v>
      </c>
      <c r="B28" s="73">
        <v>6.4</v>
      </c>
      <c r="C28" s="74">
        <v>6.1</v>
      </c>
      <c r="D28" s="74">
        <v>6.8</v>
      </c>
      <c r="E28" s="74">
        <v>-2.9</v>
      </c>
      <c r="F28" s="75">
        <f t="shared" si="0"/>
        <v>1.95</v>
      </c>
      <c r="G28" s="67">
        <f t="shared" si="7"/>
        <v>95.45497191518383</v>
      </c>
      <c r="H28" s="76">
        <f t="shared" si="1"/>
        <v>5.727476045611955</v>
      </c>
      <c r="I28" s="77">
        <v>-7.4</v>
      </c>
      <c r="J28" s="75"/>
      <c r="K28" s="77">
        <v>4.6</v>
      </c>
      <c r="L28" s="74">
        <v>5.3</v>
      </c>
      <c r="M28" s="74"/>
      <c r="N28" s="74">
        <v>8.8</v>
      </c>
      <c r="O28" s="75">
        <v>10.4</v>
      </c>
      <c r="P28" s="78" t="s">
        <v>131</v>
      </c>
      <c r="Q28" s="79">
        <v>37</v>
      </c>
      <c r="R28" s="76">
        <v>2.8</v>
      </c>
      <c r="S28" s="76"/>
      <c r="T28" s="76">
        <v>7.3</v>
      </c>
      <c r="U28" s="76"/>
      <c r="V28" s="80">
        <v>8</v>
      </c>
      <c r="W28" s="73">
        <v>988.9</v>
      </c>
      <c r="X28" s="121">
        <f t="shared" si="2"/>
        <v>999.214985949647</v>
      </c>
      <c r="Y28" s="127"/>
      <c r="Z28" s="134"/>
      <c r="AA28" s="127"/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0</v>
      </c>
      <c r="AH28">
        <f t="shared" si="11"/>
        <v>9.609034867330614</v>
      </c>
      <c r="AI28">
        <f t="shared" si="5"/>
        <v>9.41200153393066</v>
      </c>
      <c r="AJ28">
        <f t="shared" si="6"/>
        <v>9.172301533930659</v>
      </c>
      <c r="AK28">
        <f t="shared" si="12"/>
        <v>5.727476045611955</v>
      </c>
      <c r="AU28">
        <f t="shared" si="13"/>
        <v>10.52169832459694</v>
      </c>
    </row>
    <row r="29" spans="1:47" ht="12.75">
      <c r="A29" s="63">
        <v>21</v>
      </c>
      <c r="B29" s="64">
        <v>5.4</v>
      </c>
      <c r="C29" s="65">
        <v>5</v>
      </c>
      <c r="D29" s="65">
        <v>8</v>
      </c>
      <c r="E29" s="65">
        <v>2.5</v>
      </c>
      <c r="F29" s="66">
        <f t="shared" si="0"/>
        <v>5.25</v>
      </c>
      <c r="G29" s="67">
        <f t="shared" si="7"/>
        <v>93.6876729177478</v>
      </c>
      <c r="H29" s="67">
        <f t="shared" si="1"/>
        <v>4.465965055673136</v>
      </c>
      <c r="I29" s="68">
        <v>0.1</v>
      </c>
      <c r="J29" s="66"/>
      <c r="K29" s="68">
        <v>5.1</v>
      </c>
      <c r="L29" s="65">
        <v>5.9</v>
      </c>
      <c r="M29" s="65"/>
      <c r="N29" s="65">
        <v>8.4</v>
      </c>
      <c r="O29" s="66">
        <v>10.1</v>
      </c>
      <c r="P29" s="69" t="s">
        <v>132</v>
      </c>
      <c r="Q29" s="70">
        <v>25</v>
      </c>
      <c r="R29" s="67">
        <v>1.9</v>
      </c>
      <c r="S29" s="67"/>
      <c r="T29" s="67" t="s">
        <v>117</v>
      </c>
      <c r="U29" s="67"/>
      <c r="V29" s="71">
        <v>2</v>
      </c>
      <c r="W29" s="64">
        <v>997</v>
      </c>
      <c r="X29" s="121">
        <f t="shared" si="2"/>
        <v>1007.4370374274039</v>
      </c>
      <c r="Y29" s="127"/>
      <c r="Z29" s="134"/>
      <c r="AA29" s="127"/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8.966052258259293</v>
      </c>
      <c r="AI29">
        <f t="shared" si="5"/>
        <v>8.719685713352307</v>
      </c>
      <c r="AJ29">
        <f t="shared" si="6"/>
        <v>8.400085713352308</v>
      </c>
      <c r="AK29">
        <f t="shared" si="12"/>
        <v>4.465965055673136</v>
      </c>
      <c r="AU29">
        <f t="shared" si="13"/>
        <v>10.838679952667729</v>
      </c>
    </row>
    <row r="30" spans="1:47" ht="12.75">
      <c r="A30" s="72">
        <v>22</v>
      </c>
      <c r="B30" s="73">
        <v>1.3</v>
      </c>
      <c r="C30" s="74">
        <v>1.1</v>
      </c>
      <c r="D30" s="74">
        <v>7.3</v>
      </c>
      <c r="E30" s="74">
        <v>-1.1</v>
      </c>
      <c r="F30" s="75">
        <f t="shared" si="0"/>
        <v>3.0999999999999996</v>
      </c>
      <c r="G30" s="67">
        <f t="shared" si="7"/>
        <v>96.18856736813997</v>
      </c>
      <c r="H30" s="76">
        <f t="shared" si="1"/>
        <v>0.7610061070718966</v>
      </c>
      <c r="I30" s="77">
        <v>-6</v>
      </c>
      <c r="J30" s="75"/>
      <c r="K30" s="77">
        <v>1.3</v>
      </c>
      <c r="L30" s="74">
        <v>2.8</v>
      </c>
      <c r="M30" s="74"/>
      <c r="N30" s="74">
        <v>8.2</v>
      </c>
      <c r="O30" s="75">
        <v>10</v>
      </c>
      <c r="P30" s="78" t="s">
        <v>139</v>
      </c>
      <c r="Q30" s="79">
        <v>15</v>
      </c>
      <c r="R30" s="76">
        <v>3.6</v>
      </c>
      <c r="S30" s="76"/>
      <c r="T30" s="76">
        <v>0</v>
      </c>
      <c r="U30" s="76"/>
      <c r="V30" s="80">
        <v>1</v>
      </c>
      <c r="W30" s="73">
        <v>1009.6</v>
      </c>
      <c r="X30" s="121">
        <f t="shared" si="2"/>
        <v>1020.3278073037432</v>
      </c>
      <c r="Y30" s="127"/>
      <c r="Z30" s="134"/>
      <c r="AA30" s="127"/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0</v>
      </c>
      <c r="AH30">
        <f t="shared" si="11"/>
        <v>6.709066299714163</v>
      </c>
      <c r="AI30">
        <f t="shared" si="5"/>
        <v>6.613154757473732</v>
      </c>
      <c r="AJ30">
        <f t="shared" si="6"/>
        <v>6.453354757473733</v>
      </c>
      <c r="AK30">
        <f t="shared" si="12"/>
        <v>0.7610061070718966</v>
      </c>
      <c r="AU30">
        <f t="shared" si="13"/>
        <v>10.547592064195724</v>
      </c>
    </row>
    <row r="31" spans="1:47" ht="12.75">
      <c r="A31" s="63">
        <v>23</v>
      </c>
      <c r="B31" s="64">
        <v>-3.5</v>
      </c>
      <c r="C31" s="65">
        <v>-3.8</v>
      </c>
      <c r="D31" s="65">
        <v>4.5</v>
      </c>
      <c r="E31" s="65">
        <v>-4.3</v>
      </c>
      <c r="F31" s="66">
        <f t="shared" si="0"/>
        <v>0.10000000000000009</v>
      </c>
      <c r="G31" s="67">
        <f t="shared" si="7"/>
        <v>93.1959760215798</v>
      </c>
      <c r="H31" s="67">
        <f t="shared" si="1"/>
        <v>-4.437087168608035</v>
      </c>
      <c r="I31" s="68">
        <v>-8.2</v>
      </c>
      <c r="J31" s="66"/>
      <c r="K31" s="68">
        <v>1</v>
      </c>
      <c r="L31" s="65">
        <v>2.7</v>
      </c>
      <c r="M31" s="65"/>
      <c r="N31" s="65">
        <v>7.8</v>
      </c>
      <c r="O31" s="66">
        <v>9.7</v>
      </c>
      <c r="P31" s="69" t="s">
        <v>129</v>
      </c>
      <c r="Q31" s="70">
        <v>6</v>
      </c>
      <c r="R31" s="67">
        <v>0.2</v>
      </c>
      <c r="S31" s="67"/>
      <c r="T31" s="67">
        <v>0</v>
      </c>
      <c r="U31" s="67"/>
      <c r="V31" s="71">
        <v>0</v>
      </c>
      <c r="W31" s="64">
        <v>1015.2</v>
      </c>
      <c r="X31" s="121">
        <f t="shared" si="2"/>
        <v>1026.1805463534436</v>
      </c>
      <c r="Y31" s="127"/>
      <c r="Z31" s="134"/>
      <c r="AA31" s="127"/>
      <c r="AB31">
        <f t="shared" si="8"/>
        <v>0</v>
      </c>
      <c r="AC31">
        <f t="shared" si="9"/>
        <v>23</v>
      </c>
      <c r="AD31">
        <f t="shared" si="10"/>
        <v>23</v>
      </c>
      <c r="AE31">
        <f t="shared" si="3"/>
        <v>0</v>
      </c>
      <c r="AF31">
        <f t="shared" si="4"/>
        <v>0</v>
      </c>
      <c r="AH31">
        <f t="shared" si="11"/>
        <v>4.716816812915441</v>
      </c>
      <c r="AI31">
        <f t="shared" si="5"/>
        <v>4.611883465946519</v>
      </c>
      <c r="AJ31">
        <f t="shared" si="6"/>
        <v>4.395883465946519</v>
      </c>
      <c r="AK31">
        <f t="shared" si="12"/>
        <v>-4.437087168608035</v>
      </c>
      <c r="AU31">
        <f t="shared" si="13"/>
        <v>10.849786608151197</v>
      </c>
    </row>
    <row r="32" spans="1:47" ht="12.75">
      <c r="A32" s="72">
        <v>24</v>
      </c>
      <c r="B32" s="73">
        <v>4.5</v>
      </c>
      <c r="C32" s="74">
        <v>4</v>
      </c>
      <c r="D32" s="74">
        <v>7.7</v>
      </c>
      <c r="E32" s="74">
        <v>-3.5</v>
      </c>
      <c r="F32" s="75">
        <f t="shared" si="0"/>
        <v>2.1</v>
      </c>
      <c r="G32" s="67">
        <f t="shared" si="7"/>
        <v>91.80626861187132</v>
      </c>
      <c r="H32" s="76">
        <f t="shared" si="1"/>
        <v>3.285793499422468</v>
      </c>
      <c r="I32" s="77">
        <v>-2.1</v>
      </c>
      <c r="J32" s="75"/>
      <c r="K32" s="77">
        <v>5.8</v>
      </c>
      <c r="L32" s="74">
        <v>5.2</v>
      </c>
      <c r="M32" s="74"/>
      <c r="N32" s="74">
        <v>7.5</v>
      </c>
      <c r="O32" s="75">
        <v>9.5</v>
      </c>
      <c r="P32" s="78" t="s">
        <v>142</v>
      </c>
      <c r="Q32" s="79">
        <v>13</v>
      </c>
      <c r="R32" s="76">
        <v>0</v>
      </c>
      <c r="S32" s="76"/>
      <c r="T32" s="76" t="s">
        <v>117</v>
      </c>
      <c r="U32" s="76"/>
      <c r="V32" s="80">
        <v>8</v>
      </c>
      <c r="W32" s="73">
        <v>1022</v>
      </c>
      <c r="X32" s="121">
        <f t="shared" si="2"/>
        <v>1032.7336408163785</v>
      </c>
      <c r="Y32" s="127"/>
      <c r="Z32" s="134"/>
      <c r="AA32" s="127"/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8.420141382073544</v>
      </c>
      <c r="AI32">
        <f t="shared" si="5"/>
        <v>8.129717614725772</v>
      </c>
      <c r="AJ32">
        <f t="shared" si="6"/>
        <v>7.730217614725772</v>
      </c>
      <c r="AK32">
        <f t="shared" si="12"/>
        <v>3.285793499422468</v>
      </c>
      <c r="AU32">
        <f t="shared" si="13"/>
        <v>10.619588563771801</v>
      </c>
    </row>
    <row r="33" spans="1:47" ht="12.75">
      <c r="A33" s="63">
        <v>25</v>
      </c>
      <c r="B33" s="64">
        <v>4</v>
      </c>
      <c r="C33" s="65">
        <v>3.3</v>
      </c>
      <c r="D33" s="65">
        <v>6.6</v>
      </c>
      <c r="E33" s="65">
        <v>1.2</v>
      </c>
      <c r="F33" s="66">
        <f t="shared" si="0"/>
        <v>3.9</v>
      </c>
      <c r="G33" s="67">
        <f t="shared" si="7"/>
        <v>88.30186106424262</v>
      </c>
      <c r="H33" s="67">
        <f t="shared" si="1"/>
        <v>2.2442311342591794</v>
      </c>
      <c r="I33" s="68">
        <v>-3.9</v>
      </c>
      <c r="J33" s="66"/>
      <c r="K33" s="68">
        <v>3.9</v>
      </c>
      <c r="L33" s="65">
        <v>4.4</v>
      </c>
      <c r="M33" s="65"/>
      <c r="N33" s="65">
        <v>7.7</v>
      </c>
      <c r="O33" s="66">
        <v>9.3</v>
      </c>
      <c r="P33" s="69" t="s">
        <v>143</v>
      </c>
      <c r="Q33" s="70">
        <v>12</v>
      </c>
      <c r="R33" s="67">
        <v>3</v>
      </c>
      <c r="S33" s="67"/>
      <c r="T33" s="67">
        <v>0</v>
      </c>
      <c r="U33" s="67"/>
      <c r="V33" s="71">
        <v>8</v>
      </c>
      <c r="W33" s="64">
        <v>1028.9</v>
      </c>
      <c r="X33" s="121">
        <f t="shared" si="2"/>
        <v>1039.7257233276075</v>
      </c>
      <c r="Y33" s="127"/>
      <c r="Z33" s="134"/>
      <c r="AA33" s="127"/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8.129717614725772</v>
      </c>
      <c r="AI33">
        <f t="shared" si="5"/>
        <v>7.73799195307041</v>
      </c>
      <c r="AJ33">
        <f t="shared" si="6"/>
        <v>7.17869195307041</v>
      </c>
      <c r="AK33">
        <f t="shared" si="12"/>
        <v>2.2442311342591794</v>
      </c>
      <c r="AU33">
        <f t="shared" si="13"/>
        <v>10.524811867206312</v>
      </c>
    </row>
    <row r="34" spans="1:47" ht="12.75">
      <c r="A34" s="72">
        <v>26</v>
      </c>
      <c r="B34" s="73">
        <v>-0.9</v>
      </c>
      <c r="C34" s="74">
        <v>-1</v>
      </c>
      <c r="D34" s="74">
        <v>10</v>
      </c>
      <c r="E34" s="74">
        <v>-3.7</v>
      </c>
      <c r="F34" s="75">
        <f t="shared" si="0"/>
        <v>3.15</v>
      </c>
      <c r="G34" s="67">
        <f t="shared" si="7"/>
        <v>98.0106390019334</v>
      </c>
      <c r="H34" s="76">
        <f t="shared" si="1"/>
        <v>-1.173930797962083</v>
      </c>
      <c r="I34" s="77">
        <v>-7.5</v>
      </c>
      <c r="J34" s="75"/>
      <c r="K34" s="77">
        <v>1</v>
      </c>
      <c r="L34" s="74">
        <v>2.7</v>
      </c>
      <c r="M34" s="74"/>
      <c r="N34" s="74">
        <v>7.6</v>
      </c>
      <c r="O34" s="75">
        <v>9.2</v>
      </c>
      <c r="P34" s="78" t="s">
        <v>145</v>
      </c>
      <c r="Q34" s="79">
        <v>9</v>
      </c>
      <c r="R34" s="76">
        <v>0</v>
      </c>
      <c r="S34" s="76"/>
      <c r="T34" s="76">
        <v>0</v>
      </c>
      <c r="U34" s="76"/>
      <c r="V34" s="80">
        <v>7</v>
      </c>
      <c r="W34" s="73">
        <v>1029.1</v>
      </c>
      <c r="X34" s="121">
        <f t="shared" si="2"/>
        <v>1040.1239261384724</v>
      </c>
      <c r="Y34" s="127"/>
      <c r="Z34" s="134"/>
      <c r="AA34" s="127"/>
      <c r="AB34">
        <f t="shared" si="8"/>
        <v>0</v>
      </c>
      <c r="AC34">
        <f t="shared" si="9"/>
        <v>0</v>
      </c>
      <c r="AD34">
        <f t="shared" si="10"/>
        <v>0</v>
      </c>
      <c r="AE34">
        <f t="shared" si="3"/>
        <v>0</v>
      </c>
      <c r="AF34">
        <f t="shared" si="4"/>
        <v>0</v>
      </c>
      <c r="AH34">
        <f t="shared" si="11"/>
        <v>5.718694631908273</v>
      </c>
      <c r="AI34">
        <f t="shared" si="5"/>
        <v>5.676929151302562</v>
      </c>
      <c r="AJ34">
        <f t="shared" si="6"/>
        <v>5.604929151302562</v>
      </c>
      <c r="AK34">
        <f t="shared" si="12"/>
        <v>-1.173930797962083</v>
      </c>
      <c r="AU34">
        <f t="shared" si="13"/>
        <v>10.384441811907632</v>
      </c>
    </row>
    <row r="35" spans="1:47" ht="12.75">
      <c r="A35" s="63">
        <v>27</v>
      </c>
      <c r="B35" s="64">
        <v>10</v>
      </c>
      <c r="C35" s="65">
        <v>9.5</v>
      </c>
      <c r="D35" s="65">
        <v>11.9</v>
      </c>
      <c r="E35" s="65">
        <v>-0.9</v>
      </c>
      <c r="F35" s="66">
        <f t="shared" si="0"/>
        <v>5.5</v>
      </c>
      <c r="G35" s="67">
        <f t="shared" si="7"/>
        <v>93.44413740647649</v>
      </c>
      <c r="H35" s="67">
        <f t="shared" si="1"/>
        <v>8.992001315917038</v>
      </c>
      <c r="I35" s="68">
        <v>-0.9</v>
      </c>
      <c r="J35" s="66"/>
      <c r="K35" s="68">
        <v>7.4</v>
      </c>
      <c r="L35" s="65">
        <v>7</v>
      </c>
      <c r="M35" s="65"/>
      <c r="N35" s="65">
        <v>7.4</v>
      </c>
      <c r="O35" s="66">
        <v>9.1</v>
      </c>
      <c r="P35" s="69" t="s">
        <v>144</v>
      </c>
      <c r="Q35" s="70">
        <v>15</v>
      </c>
      <c r="R35" s="67">
        <v>1.7</v>
      </c>
      <c r="S35" s="67"/>
      <c r="T35" s="67">
        <v>0</v>
      </c>
      <c r="U35" s="67"/>
      <c r="V35" s="71">
        <v>7</v>
      </c>
      <c r="W35" s="64">
        <v>1023.4</v>
      </c>
      <c r="X35" s="121">
        <f t="shared" si="2"/>
        <v>1033.9383111461996</v>
      </c>
      <c r="Y35" s="127"/>
      <c r="Z35" s="134"/>
      <c r="AA35" s="127"/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12.273317807277772</v>
      </c>
      <c r="AI35">
        <f t="shared" si="5"/>
        <v>11.868195956166188</v>
      </c>
      <c r="AJ35">
        <f t="shared" si="6"/>
        <v>11.468695956166188</v>
      </c>
      <c r="AK35">
        <f t="shared" si="12"/>
        <v>8.992001315917038</v>
      </c>
      <c r="AU35">
        <f t="shared" si="13"/>
        <v>10.659495551687849</v>
      </c>
    </row>
    <row r="36" spans="1:47" ht="12.75">
      <c r="A36" s="72">
        <v>28</v>
      </c>
      <c r="B36" s="73">
        <v>4.8</v>
      </c>
      <c r="C36" s="74">
        <v>4.7</v>
      </c>
      <c r="D36" s="74">
        <v>9.3</v>
      </c>
      <c r="E36" s="74">
        <v>0.8</v>
      </c>
      <c r="F36" s="75">
        <f t="shared" si="0"/>
        <v>5.050000000000001</v>
      </c>
      <c r="G36" s="67">
        <f t="shared" si="7"/>
        <v>98.37410345717545</v>
      </c>
      <c r="H36" s="76">
        <f t="shared" si="1"/>
        <v>4.565658214793577</v>
      </c>
      <c r="I36" s="77">
        <v>-3.6</v>
      </c>
      <c r="J36" s="75"/>
      <c r="K36" s="77">
        <v>4.7</v>
      </c>
      <c r="L36" s="74">
        <v>5.4</v>
      </c>
      <c r="M36" s="74"/>
      <c r="N36" s="74">
        <v>8</v>
      </c>
      <c r="O36" s="75">
        <v>9.1</v>
      </c>
      <c r="P36" s="78" t="s">
        <v>129</v>
      </c>
      <c r="Q36" s="79">
        <v>5</v>
      </c>
      <c r="R36" s="76">
        <v>0</v>
      </c>
      <c r="S36" s="76"/>
      <c r="T36" s="76" t="s">
        <v>117</v>
      </c>
      <c r="U36" s="76"/>
      <c r="V36" s="80">
        <v>8</v>
      </c>
      <c r="W36" s="73">
        <v>1025.6</v>
      </c>
      <c r="X36" s="121">
        <f t="shared" si="2"/>
        <v>1036.359753026576</v>
      </c>
      <c r="Y36" s="127"/>
      <c r="Z36" s="134"/>
      <c r="AA36" s="127"/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8.598757969942895</v>
      </c>
      <c r="AI36">
        <f t="shared" si="5"/>
        <v>8.538851061383744</v>
      </c>
      <c r="AJ36">
        <f t="shared" si="6"/>
        <v>8.458951061383743</v>
      </c>
      <c r="AK36">
        <f t="shared" si="12"/>
        <v>4.565658214793577</v>
      </c>
      <c r="AU36">
        <f t="shared" si="13"/>
        <v>10.314985949647102</v>
      </c>
    </row>
    <row r="37" spans="1:47" ht="12.75">
      <c r="A37" s="63">
        <v>29</v>
      </c>
      <c r="B37" s="64">
        <v>9</v>
      </c>
      <c r="C37" s="65">
        <v>7.9</v>
      </c>
      <c r="D37" s="65">
        <v>9.2</v>
      </c>
      <c r="E37" s="65">
        <v>4.8</v>
      </c>
      <c r="F37" s="66">
        <f t="shared" si="0"/>
        <v>7</v>
      </c>
      <c r="G37" s="67">
        <f t="shared" si="7"/>
        <v>85.15008230447322</v>
      </c>
      <c r="H37" s="67">
        <f t="shared" si="1"/>
        <v>6.6423935502393</v>
      </c>
      <c r="I37" s="68">
        <v>2.4</v>
      </c>
      <c r="J37" s="66"/>
      <c r="K37" s="68">
        <v>6.9</v>
      </c>
      <c r="L37" s="65">
        <v>7.3</v>
      </c>
      <c r="M37" s="65"/>
      <c r="N37" s="65">
        <v>8.1</v>
      </c>
      <c r="O37" s="66">
        <v>9.1</v>
      </c>
      <c r="P37" s="69" t="s">
        <v>146</v>
      </c>
      <c r="Q37" s="70">
        <v>30</v>
      </c>
      <c r="R37" s="67">
        <v>0</v>
      </c>
      <c r="S37" s="67"/>
      <c r="T37" s="67">
        <v>0</v>
      </c>
      <c r="U37" s="67"/>
      <c r="V37" s="71">
        <v>8</v>
      </c>
      <c r="W37" s="64">
        <v>1014.3</v>
      </c>
      <c r="X37" s="121">
        <f t="shared" si="2"/>
        <v>1024.7818462656696</v>
      </c>
      <c r="Y37" s="127"/>
      <c r="Z37" s="134"/>
      <c r="AA37" s="127"/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11.474893337456098</v>
      </c>
      <c r="AI37">
        <f t="shared" si="5"/>
        <v>10.649781121194382</v>
      </c>
      <c r="AJ37">
        <f t="shared" si="6"/>
        <v>9.770881121194382</v>
      </c>
      <c r="AK37">
        <f t="shared" si="12"/>
        <v>6.6423935502393</v>
      </c>
      <c r="AU37">
        <f t="shared" si="13"/>
        <v>10.437037427403924</v>
      </c>
    </row>
    <row r="38" spans="1:47" ht="12.75">
      <c r="A38" s="72">
        <v>30</v>
      </c>
      <c r="B38" s="73">
        <v>1.5</v>
      </c>
      <c r="C38" s="74">
        <v>0.8</v>
      </c>
      <c r="D38" s="74">
        <v>7.4</v>
      </c>
      <c r="E38" s="74">
        <v>1</v>
      </c>
      <c r="F38" s="75">
        <f t="shared" si="0"/>
        <v>4.2</v>
      </c>
      <c r="G38" s="67">
        <f t="shared" si="7"/>
        <v>86.86573480203477</v>
      </c>
      <c r="H38" s="76">
        <f t="shared" si="1"/>
        <v>-0.44481851723153126</v>
      </c>
      <c r="I38" s="77">
        <v>-3.4</v>
      </c>
      <c r="J38" s="75"/>
      <c r="K38" s="77">
        <v>3.9</v>
      </c>
      <c r="L38" s="74">
        <v>4.4</v>
      </c>
      <c r="M38" s="74"/>
      <c r="N38" s="74">
        <v>8.1</v>
      </c>
      <c r="O38" s="75">
        <v>9.1</v>
      </c>
      <c r="P38" s="78" t="s">
        <v>116</v>
      </c>
      <c r="Q38" s="79">
        <v>11</v>
      </c>
      <c r="R38" s="76">
        <v>3.2</v>
      </c>
      <c r="S38" s="76"/>
      <c r="T38" s="76">
        <v>0</v>
      </c>
      <c r="U38" s="76"/>
      <c r="V38" s="80">
        <v>1</v>
      </c>
      <c r="W38" s="73">
        <v>1018.5</v>
      </c>
      <c r="X38" s="121">
        <f t="shared" si="2"/>
        <v>1029.3144472700362</v>
      </c>
      <c r="Y38" s="127"/>
      <c r="Z38" s="134"/>
      <c r="AA38" s="127"/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6.8062058612105245</v>
      </c>
      <c r="AI38">
        <f t="shared" si="5"/>
        <v>6.471560733479681</v>
      </c>
      <c r="AJ38">
        <f t="shared" si="6"/>
        <v>5.91226073347968</v>
      </c>
      <c r="AK38">
        <f t="shared" si="12"/>
        <v>-0.44481851723153126</v>
      </c>
      <c r="AU38">
        <f t="shared" si="13"/>
        <v>10.72780730374319</v>
      </c>
    </row>
    <row r="39" spans="1:47" ht="12.75">
      <c r="A39" s="63"/>
      <c r="B39" s="64"/>
      <c r="C39" s="65"/>
      <c r="D39" s="65"/>
      <c r="E39" s="65"/>
      <c r="F39" s="66"/>
      <c r="G39" s="67"/>
      <c r="H39" s="67"/>
      <c r="I39" s="68"/>
      <c r="J39" s="66"/>
      <c r="K39" s="68"/>
      <c r="L39" s="65"/>
      <c r="M39" s="65"/>
      <c r="N39" s="65"/>
      <c r="O39" s="66"/>
      <c r="P39" s="69"/>
      <c r="Q39" s="70"/>
      <c r="R39" s="67"/>
      <c r="S39" s="67"/>
      <c r="T39" s="67"/>
      <c r="U39" s="67"/>
      <c r="V39" s="71"/>
      <c r="W39" s="64"/>
      <c r="X39" s="121"/>
      <c r="Y39" s="127"/>
      <c r="Z39" s="134"/>
      <c r="AA39" s="127"/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0</v>
      </c>
      <c r="AH39">
        <f t="shared" si="11"/>
        <v>6.107</v>
      </c>
      <c r="AI39">
        <f t="shared" si="5"/>
        <v>6.107</v>
      </c>
      <c r="AJ39">
        <f t="shared" si="6"/>
        <v>6.107</v>
      </c>
      <c r="AK39">
        <f t="shared" si="12"/>
        <v>0</v>
      </c>
      <c r="AU39">
        <f t="shared" si="13"/>
        <v>10.980546353443579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 t="shared" si="13"/>
        <v>10.733640816378422</v>
      </c>
    </row>
    <row r="41" spans="1:47" ht="13.5" thickBot="1">
      <c r="A41" s="113" t="s">
        <v>19</v>
      </c>
      <c r="B41" s="114">
        <f>SUM(B9:B39)</f>
        <v>157.60000000000002</v>
      </c>
      <c r="C41" s="115">
        <f aca="true" t="shared" si="14" ref="C41:V41">SUM(C9:C39)</f>
        <v>147.3</v>
      </c>
      <c r="D41" s="115">
        <f t="shared" si="14"/>
        <v>280.4</v>
      </c>
      <c r="E41" s="115">
        <f t="shared" si="14"/>
        <v>55</v>
      </c>
      <c r="F41" s="116">
        <f t="shared" si="14"/>
        <v>167.7</v>
      </c>
      <c r="G41" s="117">
        <f t="shared" si="14"/>
        <v>2838.3820073133493</v>
      </c>
      <c r="H41" s="117">
        <f>SUM(H9:H39)</f>
        <v>133.4452317565505</v>
      </c>
      <c r="I41" s="118">
        <f t="shared" si="14"/>
        <v>-51.599999999999994</v>
      </c>
      <c r="J41" s="116">
        <f t="shared" si="14"/>
        <v>0</v>
      </c>
      <c r="K41" s="118">
        <f t="shared" si="14"/>
        <v>164.30000000000004</v>
      </c>
      <c r="L41" s="115">
        <f t="shared" si="14"/>
        <v>188.4</v>
      </c>
      <c r="M41" s="115">
        <f t="shared" si="14"/>
        <v>0</v>
      </c>
      <c r="N41" s="115">
        <f t="shared" si="14"/>
        <v>279.6</v>
      </c>
      <c r="O41" s="116">
        <f t="shared" si="14"/>
        <v>318.5000000000001</v>
      </c>
      <c r="P41" s="114"/>
      <c r="Q41" s="119">
        <f t="shared" si="14"/>
        <v>564</v>
      </c>
      <c r="R41" s="117">
        <f t="shared" si="14"/>
        <v>45.50000000000001</v>
      </c>
      <c r="S41" s="117"/>
      <c r="T41" s="117">
        <f>SUM(T9:T39)</f>
        <v>50.499999999999986</v>
      </c>
      <c r="U41" s="139"/>
      <c r="V41" s="119">
        <f t="shared" si="14"/>
        <v>147</v>
      </c>
      <c r="W41" s="117">
        <f>SUM(W9:W39)</f>
        <v>30201</v>
      </c>
      <c r="X41" s="123">
        <f>SUM(X9:X39)</f>
        <v>30517.385765147537</v>
      </c>
      <c r="Y41" s="117">
        <f>SUM(Y9:Y39)</f>
        <v>0</v>
      </c>
      <c r="Z41" s="123">
        <f>SUM(Z9:Z39)</f>
        <v>0</v>
      </c>
      <c r="AA41" s="138">
        <f>SUM(AA9:AA39)</f>
        <v>0</v>
      </c>
      <c r="AB41">
        <f>MAX(AB9:AB39)</f>
        <v>6</v>
      </c>
      <c r="AC41">
        <f>MAX(AC9:AC39)</f>
        <v>23</v>
      </c>
      <c r="AD41">
        <f>MAX(AD9:AD39)</f>
        <v>23</v>
      </c>
      <c r="AE41">
        <f>MAX(AE9:AE39)</f>
        <v>6</v>
      </c>
      <c r="AF41">
        <f>MAX(AF9:AF39)</f>
        <v>10</v>
      </c>
      <c r="AU41">
        <f t="shared" si="13"/>
        <v>10.825723327607324</v>
      </c>
    </row>
    <row r="42" spans="1:47" ht="12.75">
      <c r="A42" s="72" t="s">
        <v>20</v>
      </c>
      <c r="B42" s="73">
        <f>AVERAGE(B9:B39)</f>
        <v>5.253333333333334</v>
      </c>
      <c r="C42" s="74">
        <f aca="true" t="shared" si="15" ref="C42:V42">AVERAGE(C9:C39)</f>
        <v>4.91</v>
      </c>
      <c r="D42" s="74">
        <f t="shared" si="15"/>
        <v>9.346666666666666</v>
      </c>
      <c r="E42" s="74">
        <f t="shared" si="15"/>
        <v>1.8333333333333333</v>
      </c>
      <c r="F42" s="75">
        <f t="shared" si="15"/>
        <v>5.59</v>
      </c>
      <c r="G42" s="76">
        <f t="shared" si="15"/>
        <v>94.61273357711164</v>
      </c>
      <c r="H42" s="76">
        <f>AVERAGE(H9:H39)</f>
        <v>4.448174391885017</v>
      </c>
      <c r="I42" s="77">
        <f t="shared" si="15"/>
        <v>-1.7199999999999998</v>
      </c>
      <c r="J42" s="75" t="e">
        <f t="shared" si="15"/>
        <v>#DIV/0!</v>
      </c>
      <c r="K42" s="77">
        <f t="shared" si="15"/>
        <v>5.476666666666668</v>
      </c>
      <c r="L42" s="74">
        <f t="shared" si="15"/>
        <v>6.28</v>
      </c>
      <c r="M42" s="74" t="e">
        <f t="shared" si="15"/>
        <v>#DIV/0!</v>
      </c>
      <c r="N42" s="74">
        <f t="shared" si="15"/>
        <v>9.32</v>
      </c>
      <c r="O42" s="75">
        <f t="shared" si="15"/>
        <v>10.61666666666667</v>
      </c>
      <c r="P42" s="73"/>
      <c r="Q42" s="75">
        <f t="shared" si="15"/>
        <v>18.8</v>
      </c>
      <c r="R42" s="76">
        <f t="shared" si="15"/>
        <v>1.5166666666666668</v>
      </c>
      <c r="S42" s="76"/>
      <c r="T42" s="76">
        <f>AVERAGE(T9:T39)</f>
        <v>2.104166666666666</v>
      </c>
      <c r="U42" s="76"/>
      <c r="V42" s="76">
        <f t="shared" si="15"/>
        <v>4.9</v>
      </c>
      <c r="W42" s="76">
        <f>AVERAGE(W9:W39)</f>
        <v>1006.7</v>
      </c>
      <c r="X42" s="124">
        <f>AVERAGE(X9:X39)</f>
        <v>1017.2461921715845</v>
      </c>
      <c r="Y42" s="127"/>
      <c r="Z42" s="134"/>
      <c r="AA42" s="130"/>
      <c r="AU42">
        <f t="shared" si="13"/>
        <v>11.023926138472426</v>
      </c>
    </row>
    <row r="43" spans="1:47" ht="12.75">
      <c r="A43" s="72" t="s">
        <v>21</v>
      </c>
      <c r="B43" s="73">
        <f>MAX(B9:B39)</f>
        <v>10</v>
      </c>
      <c r="C43" s="74">
        <f aca="true" t="shared" si="16" ref="C43:V43">MAX(C9:C39)</f>
        <v>9.7</v>
      </c>
      <c r="D43" s="74">
        <f t="shared" si="16"/>
        <v>13.4</v>
      </c>
      <c r="E43" s="74">
        <f t="shared" si="16"/>
        <v>7.7</v>
      </c>
      <c r="F43" s="75">
        <f t="shared" si="16"/>
        <v>10.15</v>
      </c>
      <c r="G43" s="76">
        <f t="shared" si="16"/>
        <v>100</v>
      </c>
      <c r="H43" s="76">
        <f>MAX(H9:H39)</f>
        <v>9.501019160457199</v>
      </c>
      <c r="I43" s="77">
        <f t="shared" si="16"/>
        <v>5</v>
      </c>
      <c r="J43" s="75">
        <f t="shared" si="16"/>
        <v>0</v>
      </c>
      <c r="K43" s="77">
        <f t="shared" si="16"/>
        <v>9.1</v>
      </c>
      <c r="L43" s="74">
        <f t="shared" si="16"/>
        <v>10</v>
      </c>
      <c r="M43" s="74">
        <f t="shared" si="16"/>
        <v>0</v>
      </c>
      <c r="N43" s="74">
        <f t="shared" si="16"/>
        <v>11.6</v>
      </c>
      <c r="O43" s="75">
        <f t="shared" si="16"/>
        <v>12.5</v>
      </c>
      <c r="P43" s="73"/>
      <c r="Q43" s="70">
        <f t="shared" si="16"/>
        <v>44</v>
      </c>
      <c r="R43" s="76">
        <f t="shared" si="16"/>
        <v>5.2</v>
      </c>
      <c r="S43" s="76"/>
      <c r="T43" s="76">
        <f>MAX(T9:T39)</f>
        <v>10.7</v>
      </c>
      <c r="U43" s="140"/>
      <c r="V43" s="70">
        <f t="shared" si="16"/>
        <v>8</v>
      </c>
      <c r="W43" s="76">
        <f>MAX(W9:W39)</f>
        <v>1029.1</v>
      </c>
      <c r="X43" s="124">
        <f>MAX(X9:X39)</f>
        <v>1040.1239261384724</v>
      </c>
      <c r="Y43" s="127"/>
      <c r="Z43" s="134"/>
      <c r="AA43" s="127"/>
      <c r="AU43">
        <f t="shared" si="13"/>
        <v>10.538311146199497</v>
      </c>
    </row>
    <row r="44" spans="1:47" ht="13.5" thickBot="1">
      <c r="A44" s="81" t="s">
        <v>22</v>
      </c>
      <c r="B44" s="82">
        <f>MIN(B9:B39)</f>
        <v>-3.5</v>
      </c>
      <c r="C44" s="83">
        <f aca="true" t="shared" si="17" ref="C44:V44">MIN(C9:C39)</f>
        <v>-3.8</v>
      </c>
      <c r="D44" s="83">
        <f t="shared" si="17"/>
        <v>4.5</v>
      </c>
      <c r="E44" s="83">
        <f t="shared" si="17"/>
        <v>-4.3</v>
      </c>
      <c r="F44" s="84">
        <f t="shared" si="17"/>
        <v>0.10000000000000009</v>
      </c>
      <c r="G44" s="85">
        <f t="shared" si="17"/>
        <v>85.15008230447322</v>
      </c>
      <c r="H44" s="85">
        <f>MIN(H9:H39)</f>
        <v>-4.437087168608035</v>
      </c>
      <c r="I44" s="86">
        <f t="shared" si="17"/>
        <v>-8.2</v>
      </c>
      <c r="J44" s="84">
        <f t="shared" si="17"/>
        <v>0</v>
      </c>
      <c r="K44" s="86">
        <f t="shared" si="17"/>
        <v>1</v>
      </c>
      <c r="L44" s="83">
        <f t="shared" si="17"/>
        <v>2.7</v>
      </c>
      <c r="M44" s="83">
        <f t="shared" si="17"/>
        <v>0</v>
      </c>
      <c r="N44" s="83">
        <f t="shared" si="17"/>
        <v>7.4</v>
      </c>
      <c r="O44" s="84">
        <f t="shared" si="17"/>
        <v>9.1</v>
      </c>
      <c r="P44" s="82"/>
      <c r="Q44" s="120">
        <f t="shared" si="17"/>
        <v>5</v>
      </c>
      <c r="R44" s="85">
        <f t="shared" si="17"/>
        <v>0</v>
      </c>
      <c r="S44" s="85"/>
      <c r="T44" s="85">
        <f>MIN(T9:T39)</f>
        <v>0</v>
      </c>
      <c r="U44" s="141"/>
      <c r="V44" s="120">
        <f t="shared" si="17"/>
        <v>0</v>
      </c>
      <c r="W44" s="85">
        <f>MIN(W9:W39)</f>
        <v>978.8</v>
      </c>
      <c r="X44" s="125">
        <f>MIN(X9:X39)</f>
        <v>988.991296270418</v>
      </c>
      <c r="Y44" s="128"/>
      <c r="Z44" s="136"/>
      <c r="AA44" s="128"/>
      <c r="AU44">
        <f t="shared" si="13"/>
        <v>10.7597530265762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10.481846265669736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10.814447270036304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0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1</v>
      </c>
      <c r="C60" t="b">
        <f>T9&gt;=1</f>
        <v>1</v>
      </c>
      <c r="D60" t="b">
        <f>T9&gt;=5</f>
        <v>1</v>
      </c>
      <c r="F60" t="b">
        <f>T9="tr"</f>
        <v>0</v>
      </c>
    </row>
    <row r="61" spans="2:6" ht="12.75">
      <c r="B61">
        <f>DCOUNTA(T8:T38,1,B59:B60)</f>
        <v>18</v>
      </c>
      <c r="C61">
        <f>DCOUNTA(T8:T38,1,C59:C60)</f>
        <v>15</v>
      </c>
      <c r="D61">
        <f>DCOUNTA(T8:T38,1,D59:D60)</f>
        <v>11</v>
      </c>
      <c r="F61">
        <f>DCOUNTA(T8:T38,1,F59:F60)</f>
        <v>6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12</v>
      </c>
      <c r="C64">
        <f>(C61-F61)</f>
        <v>9</v>
      </c>
      <c r="D64">
        <f>(D61-F61)</f>
        <v>5</v>
      </c>
    </row>
  </sheetData>
  <sheetProtection/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zoomScalePageLayoutView="0" workbookViewId="0" topLeftCell="A19">
      <selection activeCell="L39" sqref="L39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1" t="s">
        <v>91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 t="s">
        <v>128</v>
      </c>
      <c r="I4" s="60" t="s">
        <v>56</v>
      </c>
      <c r="J4" s="60">
        <v>2013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2" t="s">
        <v>57</v>
      </c>
      <c r="H6" s="153"/>
      <c r="I6" s="153"/>
      <c r="J6" s="153"/>
      <c r="K6" s="153"/>
      <c r="L6" s="153"/>
      <c r="M6" s="153"/>
      <c r="N6" s="154"/>
    </row>
    <row r="7" spans="1:25" ht="12.75">
      <c r="A7" s="27" t="s">
        <v>29</v>
      </c>
      <c r="B7" s="3"/>
      <c r="C7" s="22">
        <f>Data1!$D$42</f>
        <v>9.346666666666666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1.8333333333333333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5.59</v>
      </c>
      <c r="D9" s="5">
        <v>-0.6</v>
      </c>
      <c r="E9" s="3"/>
      <c r="F9" s="40">
        <v>1</v>
      </c>
      <c r="G9" s="89" t="s">
        <v>108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13.4</v>
      </c>
      <c r="C10" s="5" t="s">
        <v>32</v>
      </c>
      <c r="D10" s="5">
        <f>Data1!$AB$41</f>
        <v>6</v>
      </c>
      <c r="E10" s="3"/>
      <c r="F10" s="40">
        <v>2</v>
      </c>
      <c r="G10" s="93" t="s">
        <v>107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-4.3</v>
      </c>
      <c r="C11" s="5" t="s">
        <v>32</v>
      </c>
      <c r="D11" s="24">
        <f>Data1!$AC$41</f>
        <v>23</v>
      </c>
      <c r="E11" s="3"/>
      <c r="F11" s="40">
        <v>3</v>
      </c>
      <c r="G11" s="93" t="s">
        <v>110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-8.2</v>
      </c>
      <c r="C12" s="5" t="s">
        <v>32</v>
      </c>
      <c r="D12" s="24">
        <f>Data1!$AD$41</f>
        <v>23</v>
      </c>
      <c r="E12" s="3"/>
      <c r="F12" s="40">
        <v>4</v>
      </c>
      <c r="G12" s="93" t="s">
        <v>113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10.61666666666667</v>
      </c>
      <c r="C13" s="5"/>
      <c r="D13" s="24"/>
      <c r="E13" s="3"/>
      <c r="F13" s="40">
        <v>5</v>
      </c>
      <c r="G13" s="93" t="s">
        <v>112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125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124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123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Data1!$T$41</f>
        <v>50.499999999999986</v>
      </c>
      <c r="D17" s="5">
        <v>81</v>
      </c>
      <c r="E17" s="3"/>
      <c r="F17" s="40">
        <v>9</v>
      </c>
      <c r="G17" s="93" t="s">
        <v>122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f>Data1!$B$64</f>
        <v>12</v>
      </c>
      <c r="D18" s="5"/>
      <c r="E18" s="3"/>
      <c r="F18" s="40">
        <v>10</v>
      </c>
      <c r="G18" s="93" t="s">
        <v>121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9</v>
      </c>
      <c r="D19" s="5"/>
      <c r="E19" s="3"/>
      <c r="F19" s="40">
        <v>11</v>
      </c>
      <c r="G19" s="93" t="s">
        <v>120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5</v>
      </c>
      <c r="D20" s="5"/>
      <c r="E20" s="3"/>
      <c r="F20" s="40">
        <v>12</v>
      </c>
      <c r="G20" s="93" t="s">
        <v>126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Data1!$T$43</f>
        <v>10.7</v>
      </c>
      <c r="D21" s="5"/>
      <c r="E21" s="3"/>
      <c r="F21" s="40">
        <v>13</v>
      </c>
      <c r="G21" s="93" t="s">
        <v>127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Data1!$AE$41</f>
        <v>6</v>
      </c>
      <c r="D22" s="5"/>
      <c r="E22" s="3"/>
      <c r="F22" s="40">
        <v>14</v>
      </c>
      <c r="G22" s="93" t="s">
        <v>155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138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137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5.2</v>
      </c>
      <c r="D25" s="5" t="s">
        <v>46</v>
      </c>
      <c r="E25" s="5">
        <f>Data1!$AF$41</f>
        <v>10</v>
      </c>
      <c r="F25" s="40">
        <v>17</v>
      </c>
      <c r="G25" s="93" t="s">
        <v>136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45.50000000000001</v>
      </c>
      <c r="D26" s="5" t="s">
        <v>46</v>
      </c>
      <c r="E26" s="3"/>
      <c r="F26" s="40">
        <v>18</v>
      </c>
      <c r="G26" s="93" t="s">
        <v>135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134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133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140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44</v>
      </c>
      <c r="D30" s="5"/>
      <c r="E30" s="5"/>
      <c r="F30" s="40">
        <v>22</v>
      </c>
      <c r="G30" s="93" t="s">
        <v>141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Data1!$AP$9</f>
        <v>1</v>
      </c>
      <c r="D31" s="22"/>
      <c r="E31" s="5"/>
      <c r="F31" s="40">
        <v>23</v>
      </c>
      <c r="G31" s="93" t="s">
        <v>154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153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152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Data1!$Z$41</f>
        <v>0</v>
      </c>
      <c r="D34" s="3"/>
      <c r="E34" s="3"/>
      <c r="F34" s="40">
        <v>26</v>
      </c>
      <c r="G34" s="93" t="s">
        <v>151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150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149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Data1!$AA$41</f>
        <v>0</v>
      </c>
      <c r="D37" s="5"/>
      <c r="E37" s="3"/>
      <c r="F37" s="40">
        <v>29</v>
      </c>
      <c r="G37" s="93" t="s">
        <v>148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v>0</v>
      </c>
      <c r="D38" s="5"/>
      <c r="E38" s="3"/>
      <c r="F38" s="40">
        <v>30</v>
      </c>
      <c r="G38" s="93" t="s">
        <v>147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Data1!$AN$9</f>
        <v>8</v>
      </c>
      <c r="D39" s="5"/>
      <c r="E39" s="3"/>
      <c r="F39" s="40"/>
      <c r="G39" s="95"/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Data1!$AO$9</f>
        <v>19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 t="s">
        <v>156</v>
      </c>
      <c r="B43" s="3" t="s">
        <v>157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158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159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sheetProtection/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</cp:lastModifiedBy>
  <cp:lastPrinted>2008-02-13T09:21:39Z</cp:lastPrinted>
  <dcterms:created xsi:type="dcterms:W3CDTF">1998-03-11T18:30:34Z</dcterms:created>
  <dcterms:modified xsi:type="dcterms:W3CDTF">2013-12-24T11:46:22Z</dcterms:modified>
  <cp:category/>
  <cp:version/>
  <cp:contentType/>
  <cp:contentStatus/>
</cp:coreProperties>
</file>